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pined\Documents\Humberto Acuña\LEY DE PRESUPUESTO DEL AÑO 2021\Formatos y Directivas de las entidades\GORES\Callao\"/>
    </mc:Choice>
  </mc:AlternateContent>
  <xr:revisionPtr revIDLastSave="0" documentId="8_{7AD83DE2-B3C4-48C4-839D-865ED245E3AB}" xr6:coauthVersionLast="45" xr6:coauthVersionMax="45" xr10:uidLastSave="{00000000-0000-0000-0000-000000000000}"/>
  <bookViews>
    <workbookView xWindow="-120" yWindow="-120" windowWidth="20730" windowHeight="11160" tabRatio="825" activeTab="1" xr2:uid="{00000000-000D-0000-FFFF-FFFF00000000}"/>
  </bookViews>
  <sheets>
    <sheet name="Índice" sheetId="55" r:id="rId1"/>
    <sheet name="F-01" sheetId="62" r:id="rId2"/>
    <sheet name="F-02" sheetId="73" r:id="rId3"/>
    <sheet name="F-03" sheetId="70" r:id="rId4"/>
    <sheet name="F-04" sheetId="30" r:id="rId5"/>
    <sheet name="F-05" sheetId="76" r:id="rId6"/>
    <sheet name="F-06" sheetId="57" r:id="rId7"/>
    <sheet name="F-07" sheetId="9" r:id="rId8"/>
    <sheet name="F-08" sheetId="21" r:id="rId9"/>
    <sheet name="F-09" sheetId="60" r:id="rId10"/>
    <sheet name="F-10" sheetId="32" r:id="rId11"/>
    <sheet name="F-11" sheetId="45" r:id="rId12"/>
    <sheet name="F-12" sheetId="81" r:id="rId13"/>
    <sheet name="F-13" sheetId="50" r:id="rId14"/>
    <sheet name="F-14" sheetId="51" r:id="rId15"/>
    <sheet name="F-15" sheetId="39" r:id="rId16"/>
    <sheet name="F-16" sheetId="79" r:id="rId17"/>
    <sheet name="F-17" sheetId="53" r:id="rId18"/>
    <sheet name="F-18" sheetId="64" r:id="rId19"/>
    <sheet name="Hoja2" sheetId="80" r:id="rId20"/>
    <sheet name="Hoja1" sheetId="78" state="hidden" r:id="rId21"/>
  </sheets>
  <externalReferences>
    <externalReference r:id="rId22"/>
  </externalReferences>
  <definedNames>
    <definedName name="_xlnm.Print_Area" localSheetId="1">'F-01'!$A$1:$N$16</definedName>
    <definedName name="_xlnm.Print_Area" localSheetId="6">'F-06'!$A$1:$N$52</definedName>
    <definedName name="_xlnm.Print_Area" localSheetId="7">'F-07'!$A$1:$Q$25</definedName>
    <definedName name="_xlnm.Print_Area" localSheetId="8">'F-08'!$A$1:$R$109</definedName>
    <definedName name="_xlnm.Print_Area" localSheetId="9">'F-09'!$A$1:$X$34</definedName>
    <definedName name="_xlnm.Print_Area" localSheetId="10">'F-10'!$A$1:$I$24</definedName>
    <definedName name="_xlnm.Print_Area" localSheetId="11">'F-11'!$A$1:$AI$70</definedName>
    <definedName name="_xlnm.Print_Area" localSheetId="12">'F-12'!$A$1:$J$30</definedName>
    <definedName name="_xlnm.Print_Area" localSheetId="13">'F-13'!$A$1:$N$14</definedName>
    <definedName name="_xlnm.Print_Area" localSheetId="14">'F-14'!$A$1:$J$27</definedName>
    <definedName name="_xlnm.Print_Area" localSheetId="15">'F-15'!$A$1:$H$17</definedName>
    <definedName name="_xlnm.Print_Area" localSheetId="16">'F-16'!$A$1:$H$52</definedName>
    <definedName name="_xlnm.Print_Area" localSheetId="17">'F-17'!$A$1:$P$5</definedName>
    <definedName name="_xlnm.Print_Area" localSheetId="18">'F-18'!$A$1:$L$27</definedName>
    <definedName name="_xlnm.Print_Area" localSheetId="0">Índice!$A$1:$E$35</definedName>
    <definedName name="dd" localSheetId="2">#REF!</definedName>
    <definedName name="dd" localSheetId="3">#REF!</definedName>
    <definedName name="dd" localSheetId="5">#REF!</definedName>
    <definedName name="dd">#REF!</definedName>
    <definedName name="DIRECREC" localSheetId="1">#REF!</definedName>
    <definedName name="DIRECREC" localSheetId="2">#REF!</definedName>
    <definedName name="DIRECREC" localSheetId="3">#REF!</definedName>
    <definedName name="DIRECREC" localSheetId="5">#REF!</definedName>
    <definedName name="DIRECREC" localSheetId="6">#REF!</definedName>
    <definedName name="DIRECREC" localSheetId="9">#REF!</definedName>
    <definedName name="DIRECREC" localSheetId="18">#REF!</definedName>
    <definedName name="DIRECREC">#REF!</definedName>
    <definedName name="DONAC" localSheetId="1">#REF!</definedName>
    <definedName name="DONAC" localSheetId="2">#REF!</definedName>
    <definedName name="DONAC" localSheetId="3">#REF!</definedName>
    <definedName name="DONAC" localSheetId="5">#REF!</definedName>
    <definedName name="DONAC" localSheetId="6">#REF!</definedName>
    <definedName name="DONAC" localSheetId="9">#REF!</definedName>
    <definedName name="DONAC" localSheetId="18">#REF!</definedName>
    <definedName name="DONAC">#REF!</definedName>
    <definedName name="EE" localSheetId="2">#REF!</definedName>
    <definedName name="EE" localSheetId="3">#REF!</definedName>
    <definedName name="EE" localSheetId="5">#REF!</definedName>
    <definedName name="EE">#REF!</definedName>
    <definedName name="RECORD" localSheetId="1">#REF!</definedName>
    <definedName name="RECORD" localSheetId="2">#REF!</definedName>
    <definedName name="RECORD" localSheetId="3">#REF!</definedName>
    <definedName name="RECORD" localSheetId="5">#REF!</definedName>
    <definedName name="RECORD" localSheetId="6">#REF!</definedName>
    <definedName name="RECORD" localSheetId="9">#REF!</definedName>
    <definedName name="RECORD" localSheetId="18">#REF!</definedName>
    <definedName name="RECORD">#REF!</definedName>
    <definedName name="RECPUB" localSheetId="1">#REF!</definedName>
    <definedName name="RECPUB" localSheetId="2">#REF!</definedName>
    <definedName name="RECPUB" localSheetId="3">#REF!</definedName>
    <definedName name="RECPUB" localSheetId="5">#REF!</definedName>
    <definedName name="RECPUB" localSheetId="6">#REF!</definedName>
    <definedName name="RECPUB" localSheetId="9">#REF!</definedName>
    <definedName name="RECPUB" localSheetId="18">#REF!</definedName>
    <definedName name="RECPUB">#REF!</definedName>
    <definedName name="_xlnm.Print_Titles" localSheetId="1">'F-01'!$3:$3</definedName>
    <definedName name="_xlnm.Print_Titles" localSheetId="0">Índice!$1:$1</definedName>
    <definedName name="XPRINT" localSheetId="1">#REF!</definedName>
    <definedName name="XPRINT" localSheetId="2">#REF!</definedName>
    <definedName name="XPRINT" localSheetId="3">#REF!</definedName>
    <definedName name="XPRINT" localSheetId="5">#REF!</definedName>
    <definedName name="XPRINT" localSheetId="6">#REF!</definedName>
    <definedName name="XPRINT" localSheetId="9">#REF!</definedName>
    <definedName name="XPRINT" localSheetId="18">#REF!</definedName>
    <definedName name="XPRINT">#REF!</definedName>
    <definedName name="XPRINT2" localSheetId="1">#REF!</definedName>
    <definedName name="XPRINT2" localSheetId="2">#REF!</definedName>
    <definedName name="XPRINT2" localSheetId="3">#REF!</definedName>
    <definedName name="XPRINT2" localSheetId="5">#REF!</definedName>
    <definedName name="XPRINT2" localSheetId="6">#REF!</definedName>
    <definedName name="XPRINT2" localSheetId="9">#REF!</definedName>
    <definedName name="XPRINT2" localSheetId="18">#REF!</definedName>
    <definedName name="XPRINT2">#REF!</definedName>
    <definedName name="XPRINT3" localSheetId="1">#REF!</definedName>
    <definedName name="XPRINT3" localSheetId="2">#REF!</definedName>
    <definedName name="XPRINT3" localSheetId="3">#REF!</definedName>
    <definedName name="XPRINT3" localSheetId="5">#REF!</definedName>
    <definedName name="XPRINT3" localSheetId="6">#REF!</definedName>
    <definedName name="XPRINT3" localSheetId="9">#REF!</definedName>
    <definedName name="XPRINT3" localSheetId="18">#REF!</definedName>
    <definedName name="XPRINT3">#REF!</definedName>
    <definedName name="XPRINT4" localSheetId="1">#REF!</definedName>
    <definedName name="XPRINT4" localSheetId="2">#REF!</definedName>
    <definedName name="XPRINT4" localSheetId="3">#REF!</definedName>
    <definedName name="XPRINT4" localSheetId="5">#REF!</definedName>
    <definedName name="XPRINT4" localSheetId="6">#REF!</definedName>
    <definedName name="XPRINT4" localSheetId="9">#REF!</definedName>
    <definedName name="XPRINT4" localSheetId="18">#REF!</definedName>
    <definedName name="XPRINT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53" i="53" l="1"/>
  <c r="K1553" i="53"/>
  <c r="M1550" i="53"/>
  <c r="M1549" i="53"/>
  <c r="M1548" i="53"/>
  <c r="M1547" i="53"/>
  <c r="M1546" i="53"/>
  <c r="M1545" i="53"/>
  <c r="M1544" i="53"/>
  <c r="P1541" i="53"/>
  <c r="P1540" i="53"/>
  <c r="P1539" i="53"/>
  <c r="H244" i="79"/>
  <c r="G244" i="79"/>
  <c r="F64" i="39"/>
  <c r="E64" i="39"/>
  <c r="D64" i="39"/>
  <c r="E279" i="51"/>
  <c r="E243" i="51"/>
  <c r="AI236" i="45"/>
  <c r="AH236" i="45"/>
  <c r="Q236" i="45"/>
  <c r="B236" i="45"/>
  <c r="AF202" i="45"/>
  <c r="AC202" i="45"/>
  <c r="Z202" i="45"/>
  <c r="N202" i="45"/>
  <c r="K202" i="45"/>
  <c r="AF201" i="45"/>
  <c r="AC201" i="45"/>
  <c r="Z201" i="45"/>
  <c r="AD201" i="45" s="1"/>
  <c r="AE201" i="45" s="1"/>
  <c r="N201" i="45"/>
  <c r="K201" i="45"/>
  <c r="AF200" i="45"/>
  <c r="AC200" i="45"/>
  <c r="Z200" i="45"/>
  <c r="N200" i="45"/>
  <c r="K200" i="45"/>
  <c r="AF199" i="45"/>
  <c r="AC199" i="45"/>
  <c r="Z199" i="45"/>
  <c r="AD199" i="45" s="1"/>
  <c r="AE199" i="45" s="1"/>
  <c r="N199" i="45"/>
  <c r="K199" i="45"/>
  <c r="O199" i="45" s="1"/>
  <c r="P199" i="45" s="1"/>
  <c r="AF198" i="45"/>
  <c r="AC198" i="45"/>
  <c r="Z198" i="45"/>
  <c r="N198" i="45"/>
  <c r="K198" i="45"/>
  <c r="O198" i="45" s="1"/>
  <c r="P198" i="45" s="1"/>
  <c r="AF197" i="45"/>
  <c r="AC197" i="45"/>
  <c r="Z197" i="45"/>
  <c r="AD197" i="45" s="1"/>
  <c r="AE197" i="45" s="1"/>
  <c r="N197" i="45"/>
  <c r="K197" i="45"/>
  <c r="AF193" i="45"/>
  <c r="AC193" i="45"/>
  <c r="Z193" i="45"/>
  <c r="AD193" i="45" s="1"/>
  <c r="AE193" i="45" s="1"/>
  <c r="N193" i="45"/>
  <c r="K193" i="45"/>
  <c r="O193" i="45" s="1"/>
  <c r="P193" i="45" s="1"/>
  <c r="AF192" i="45"/>
  <c r="AC192" i="45"/>
  <c r="Z192" i="45"/>
  <c r="N192" i="45"/>
  <c r="K192" i="45"/>
  <c r="AF191" i="45"/>
  <c r="AC191" i="45"/>
  <c r="Z191" i="45"/>
  <c r="AD191" i="45" s="1"/>
  <c r="AE191" i="45" s="1"/>
  <c r="N191" i="45"/>
  <c r="K191" i="45"/>
  <c r="AF190" i="45"/>
  <c r="AC190" i="45"/>
  <c r="Z190" i="45"/>
  <c r="N190" i="45"/>
  <c r="K190" i="45"/>
  <c r="O190" i="45" s="1"/>
  <c r="P190" i="45" s="1"/>
  <c r="AF189" i="45"/>
  <c r="AC189" i="45"/>
  <c r="Z189" i="45"/>
  <c r="AD189" i="45" s="1"/>
  <c r="AE189" i="45" s="1"/>
  <c r="N189" i="45"/>
  <c r="K189" i="45"/>
  <c r="AF188" i="45"/>
  <c r="AC188" i="45"/>
  <c r="Z188" i="45"/>
  <c r="N188" i="45"/>
  <c r="K188" i="45"/>
  <c r="O188" i="45" s="1"/>
  <c r="P188" i="45" s="1"/>
  <c r="AF187" i="45"/>
  <c r="AC187" i="45"/>
  <c r="Z187" i="45"/>
  <c r="AD187" i="45" s="1"/>
  <c r="AE187" i="45" s="1"/>
  <c r="N187" i="45"/>
  <c r="K187" i="45"/>
  <c r="O187" i="45" s="1"/>
  <c r="P187" i="45" s="1"/>
  <c r="AF186" i="45"/>
  <c r="AC186" i="45"/>
  <c r="Z186" i="45"/>
  <c r="P186" i="45"/>
  <c r="N186" i="45"/>
  <c r="K186" i="45"/>
  <c r="AF185" i="45"/>
  <c r="AC185" i="45"/>
  <c r="Z185" i="45"/>
  <c r="N185" i="45"/>
  <c r="K185" i="45"/>
  <c r="AF184" i="45"/>
  <c r="AC184" i="45"/>
  <c r="Z184" i="45"/>
  <c r="AD184" i="45" s="1"/>
  <c r="AE184" i="45" s="1"/>
  <c r="N184" i="45"/>
  <c r="K184" i="45"/>
  <c r="AF183" i="45"/>
  <c r="AC183" i="45"/>
  <c r="Z183" i="45"/>
  <c r="N183" i="45"/>
  <c r="K183" i="45"/>
  <c r="AF177" i="45"/>
  <c r="AC177" i="45"/>
  <c r="Z177" i="45"/>
  <c r="AD177" i="45" s="1"/>
  <c r="AE177" i="45" s="1"/>
  <c r="N177" i="45"/>
  <c r="K177" i="45"/>
  <c r="AF176" i="45"/>
  <c r="AC176" i="45"/>
  <c r="Z176" i="45"/>
  <c r="AD176" i="45" s="1"/>
  <c r="AE176" i="45" s="1"/>
  <c r="N176" i="45"/>
  <c r="O176" i="45" s="1"/>
  <c r="P176" i="45" s="1"/>
  <c r="K176" i="45"/>
  <c r="AF175" i="45"/>
  <c r="AC175" i="45"/>
  <c r="Z175" i="45"/>
  <c r="N175" i="45"/>
  <c r="K175" i="45"/>
  <c r="AF172" i="45"/>
  <c r="AC172" i="45"/>
  <c r="Z172" i="45"/>
  <c r="N172" i="45"/>
  <c r="K172" i="45"/>
  <c r="AF171" i="45"/>
  <c r="AC171" i="45"/>
  <c r="Z171" i="45"/>
  <c r="N171" i="45"/>
  <c r="K171" i="45"/>
  <c r="AF168" i="45"/>
  <c r="AC168" i="45"/>
  <c r="Z168" i="45"/>
  <c r="N168" i="45"/>
  <c r="K168" i="45"/>
  <c r="AF167" i="45"/>
  <c r="AC167" i="45"/>
  <c r="Z167" i="45"/>
  <c r="AD167" i="45" s="1"/>
  <c r="AE167" i="45" s="1"/>
  <c r="N167" i="45"/>
  <c r="K167" i="45"/>
  <c r="O166" i="45"/>
  <c r="P166" i="45" s="1"/>
  <c r="I71" i="32"/>
  <c r="H71" i="32"/>
  <c r="I70" i="32"/>
  <c r="H70" i="32"/>
  <c r="G70" i="32"/>
  <c r="G73" i="32" s="1"/>
  <c r="H66" i="32"/>
  <c r="E66" i="32"/>
  <c r="E73" i="32" s="1"/>
  <c r="C66" i="32"/>
  <c r="C73" i="32" s="1"/>
  <c r="I62" i="32"/>
  <c r="H62" i="32"/>
  <c r="G62" i="32"/>
  <c r="I57" i="32"/>
  <c r="H57" i="32"/>
  <c r="O124" i="60"/>
  <c r="D124" i="60"/>
  <c r="W119" i="60"/>
  <c r="V119" i="60"/>
  <c r="M119" i="60"/>
  <c r="L119" i="60"/>
  <c r="K119" i="60"/>
  <c r="B119" i="60"/>
  <c r="W114" i="60"/>
  <c r="V114" i="60"/>
  <c r="M114" i="60"/>
  <c r="L114" i="60"/>
  <c r="K114" i="60"/>
  <c r="B114" i="60"/>
  <c r="W109" i="60"/>
  <c r="W124" i="60" s="1"/>
  <c r="V109" i="60"/>
  <c r="M109" i="60"/>
  <c r="M124" i="60" s="1"/>
  <c r="L109" i="60"/>
  <c r="K109" i="60"/>
  <c r="B109" i="60"/>
  <c r="M160" i="57"/>
  <c r="L160" i="57"/>
  <c r="J160" i="57"/>
  <c r="I160" i="57"/>
  <c r="G160" i="57"/>
  <c r="F160" i="57"/>
  <c r="E160" i="57"/>
  <c r="C160" i="57"/>
  <c r="B160" i="57"/>
  <c r="N146" i="57"/>
  <c r="K146" i="57"/>
  <c r="H146" i="57"/>
  <c r="D146" i="57"/>
  <c r="N144" i="57"/>
  <c r="N160" i="57" s="1"/>
  <c r="K144" i="57"/>
  <c r="K160" i="57" s="1"/>
  <c r="H144" i="57"/>
  <c r="H160" i="57" s="1"/>
  <c r="D144" i="57"/>
  <c r="D160" i="57" s="1"/>
  <c r="O175" i="45" l="1"/>
  <c r="P175" i="45" s="1"/>
  <c r="AD192" i="45"/>
  <c r="AE192" i="45" s="1"/>
  <c r="AD198" i="45"/>
  <c r="AE198" i="45" s="1"/>
  <c r="M1553" i="53"/>
  <c r="B124" i="60"/>
  <c r="K124" i="60"/>
  <c r="O177" i="45"/>
  <c r="P177" i="45" s="1"/>
  <c r="AD183" i="45"/>
  <c r="AE183" i="45" s="1"/>
  <c r="AD186" i="45"/>
  <c r="AE186" i="45" s="1"/>
  <c r="AG186" i="45" s="1"/>
  <c r="L124" i="60"/>
  <c r="AD168" i="45"/>
  <c r="AE168" i="45" s="1"/>
  <c r="AG168" i="45" s="1"/>
  <c r="P1553" i="53"/>
  <c r="V124" i="60"/>
  <c r="O202" i="45"/>
  <c r="P202" i="45" s="1"/>
  <c r="O172" i="45"/>
  <c r="P172" i="45" s="1"/>
  <c r="P236" i="45" s="1"/>
  <c r="O185" i="45"/>
  <c r="P185" i="45" s="1"/>
  <c r="O168" i="45"/>
  <c r="P168" i="45" s="1"/>
  <c r="O171" i="45"/>
  <c r="P171" i="45" s="1"/>
  <c r="AD172" i="45"/>
  <c r="AE172" i="45" s="1"/>
  <c r="AD175" i="45"/>
  <c r="AE175" i="45" s="1"/>
  <c r="AG175" i="45" s="1"/>
  <c r="O183" i="45"/>
  <c r="P183" i="45" s="1"/>
  <c r="O184" i="45"/>
  <c r="P184" i="45" s="1"/>
  <c r="AG184" i="45" s="1"/>
  <c r="AD185" i="45"/>
  <c r="AE185" i="45" s="1"/>
  <c r="AG185" i="45" s="1"/>
  <c r="AD188" i="45"/>
  <c r="AE188" i="45" s="1"/>
  <c r="AG188" i="45" s="1"/>
  <c r="AD190" i="45"/>
  <c r="AE190" i="45" s="1"/>
  <c r="O201" i="45"/>
  <c r="P201" i="45" s="1"/>
  <c r="AG201" i="45" s="1"/>
  <c r="AG187" i="45"/>
  <c r="O200" i="45"/>
  <c r="P200" i="45" s="1"/>
  <c r="O167" i="45"/>
  <c r="P167" i="45" s="1"/>
  <c r="AG167" i="45" s="1"/>
  <c r="AD171" i="45"/>
  <c r="AE171" i="45" s="1"/>
  <c r="AG171" i="45" s="1"/>
  <c r="O192" i="45"/>
  <c r="P192" i="45" s="1"/>
  <c r="O197" i="45"/>
  <c r="P197" i="45" s="1"/>
  <c r="AG197" i="45" s="1"/>
  <c r="AF236" i="45"/>
  <c r="O189" i="45"/>
  <c r="P189" i="45" s="1"/>
  <c r="AG189" i="45" s="1"/>
  <c r="O191" i="45"/>
  <c r="P191" i="45" s="1"/>
  <c r="AG191" i="45" s="1"/>
  <c r="AD200" i="45"/>
  <c r="AE200" i="45" s="1"/>
  <c r="AG200" i="45" s="1"/>
  <c r="AD202" i="45"/>
  <c r="AE202" i="45" s="1"/>
  <c r="AG202" i="45" s="1"/>
  <c r="AG177" i="45"/>
  <c r="AG176" i="45"/>
  <c r="AG199" i="45"/>
  <c r="AG193" i="45"/>
  <c r="AG198" i="45"/>
  <c r="AG190" i="45"/>
  <c r="AG192" i="45"/>
  <c r="I66" i="32"/>
  <c r="I73" i="32" s="1"/>
  <c r="AG183" i="45" l="1"/>
  <c r="AG172" i="45"/>
  <c r="AE236" i="45"/>
  <c r="AG236" i="45"/>
  <c r="Q724" i="45" l="1"/>
  <c r="B724" i="45"/>
  <c r="N723" i="45"/>
  <c r="K723" i="45"/>
  <c r="AC722" i="45"/>
  <c r="Z722" i="45"/>
  <c r="N722" i="45"/>
  <c r="K722" i="45"/>
  <c r="O722" i="45" s="1"/>
  <c r="P722" i="45" s="1"/>
  <c r="AH721" i="45"/>
  <c r="AC721" i="45"/>
  <c r="Z721" i="45"/>
  <c r="N721" i="45"/>
  <c r="K721" i="45"/>
  <c r="AH718" i="45"/>
  <c r="AC718" i="45"/>
  <c r="Z718" i="45"/>
  <c r="N718" i="45"/>
  <c r="K718" i="45"/>
  <c r="AC717" i="45"/>
  <c r="Z717" i="45"/>
  <c r="AD717" i="45" s="1"/>
  <c r="N717" i="45"/>
  <c r="K717" i="45"/>
  <c r="AH713" i="45"/>
  <c r="AC713" i="45"/>
  <c r="Z713" i="45"/>
  <c r="N713" i="45"/>
  <c r="K713" i="45"/>
  <c r="O713" i="45" s="1"/>
  <c r="P713" i="45" s="1"/>
  <c r="AH712" i="45"/>
  <c r="AC712" i="45"/>
  <c r="Z712" i="45"/>
  <c r="N712" i="45"/>
  <c r="K712" i="45"/>
  <c r="O712" i="45" s="1"/>
  <c r="P712" i="45" s="1"/>
  <c r="AH709" i="45"/>
  <c r="AC709" i="45"/>
  <c r="Z709" i="45"/>
  <c r="N709" i="45"/>
  <c r="K709" i="45"/>
  <c r="AH705" i="45"/>
  <c r="AC705" i="45"/>
  <c r="Z705" i="45"/>
  <c r="AD705" i="45" s="1"/>
  <c r="N705" i="45"/>
  <c r="K705" i="45"/>
  <c r="O705" i="45" s="1"/>
  <c r="P705" i="45" s="1"/>
  <c r="AC704" i="45"/>
  <c r="Z704" i="45"/>
  <c r="AD704" i="45" s="1"/>
  <c r="AE704" i="45" s="1"/>
  <c r="AG704" i="45" s="1"/>
  <c r="N704" i="45"/>
  <c r="O704" i="45" s="1"/>
  <c r="P704" i="45" s="1"/>
  <c r="K704" i="45"/>
  <c r="AH703" i="45"/>
  <c r="AC703" i="45"/>
  <c r="Z703" i="45"/>
  <c r="N703" i="45"/>
  <c r="O703" i="45" s="1"/>
  <c r="P703" i="45" s="1"/>
  <c r="K703" i="45"/>
  <c r="AH700" i="45"/>
  <c r="AC700" i="45"/>
  <c r="Z700" i="45"/>
  <c r="N700" i="45"/>
  <c r="K700" i="45"/>
  <c r="AH699" i="45"/>
  <c r="AC699" i="45"/>
  <c r="R699" i="45"/>
  <c r="Z699" i="45" s="1"/>
  <c r="AD699" i="45" s="1"/>
  <c r="AE699" i="45" s="1"/>
  <c r="O699" i="45"/>
  <c r="P699" i="45" s="1"/>
  <c r="N699" i="45"/>
  <c r="K699" i="45"/>
  <c r="AH698" i="45"/>
  <c r="AC698" i="45"/>
  <c r="Z698" i="45"/>
  <c r="N698" i="45"/>
  <c r="K698" i="45"/>
  <c r="O698" i="45" s="1"/>
  <c r="P698" i="45" s="1"/>
  <c r="AC697" i="45"/>
  <c r="Z697" i="45"/>
  <c r="N697" i="45"/>
  <c r="K697" i="45"/>
  <c r="O697" i="45" s="1"/>
  <c r="P697" i="45" s="1"/>
  <c r="AH696" i="45"/>
  <c r="AC696" i="45"/>
  <c r="Z696" i="45"/>
  <c r="AD696" i="45" s="1"/>
  <c r="N696" i="45"/>
  <c r="K696" i="45"/>
  <c r="AH695" i="45"/>
  <c r="AC695" i="45"/>
  <c r="S695" i="45"/>
  <c r="Z695" i="45" s="1"/>
  <c r="AD695" i="45" s="1"/>
  <c r="N695" i="45"/>
  <c r="K695" i="45"/>
  <c r="AH692" i="45"/>
  <c r="AC692" i="45"/>
  <c r="Z692" i="45"/>
  <c r="N692" i="45"/>
  <c r="K692" i="45"/>
  <c r="AH691" i="45"/>
  <c r="AC691" i="45"/>
  <c r="Z691" i="45"/>
  <c r="N691" i="45"/>
  <c r="K691" i="45"/>
  <c r="AH687" i="45"/>
  <c r="AC687" i="45"/>
  <c r="Z687" i="45"/>
  <c r="AD687" i="45" s="1"/>
  <c r="AE687" i="45" s="1"/>
  <c r="N687" i="45"/>
  <c r="K687" i="45"/>
  <c r="G220" i="32"/>
  <c r="I220" i="32" s="1"/>
  <c r="E220" i="32"/>
  <c r="C220" i="32"/>
  <c r="I217" i="32"/>
  <c r="H217" i="32"/>
  <c r="I216" i="32"/>
  <c r="H216" i="32"/>
  <c r="I213" i="32"/>
  <c r="H213" i="32"/>
  <c r="I209" i="32"/>
  <c r="H209" i="32"/>
  <c r="I204" i="32"/>
  <c r="H204" i="32"/>
  <c r="L478" i="60"/>
  <c r="B478" i="60"/>
  <c r="W477" i="60"/>
  <c r="V477" i="60"/>
  <c r="K477" i="60"/>
  <c r="W476" i="60"/>
  <c r="V476" i="60"/>
  <c r="K476" i="60"/>
  <c r="W475" i="60"/>
  <c r="V475" i="60"/>
  <c r="K475" i="60"/>
  <c r="W474" i="60"/>
  <c r="V474" i="60"/>
  <c r="K474" i="60"/>
  <c r="V473" i="60"/>
  <c r="W471" i="60"/>
  <c r="V471" i="60"/>
  <c r="K471" i="60"/>
  <c r="W470" i="60"/>
  <c r="V470" i="60"/>
  <c r="K470" i="60"/>
  <c r="W469" i="60"/>
  <c r="V469" i="60"/>
  <c r="K469" i="60"/>
  <c r="W468" i="60"/>
  <c r="V468" i="60"/>
  <c r="K468" i="60"/>
  <c r="W467" i="60"/>
  <c r="V467" i="60"/>
  <c r="K467" i="60"/>
  <c r="V465" i="60"/>
  <c r="K465" i="60"/>
  <c r="W464" i="60"/>
  <c r="V464" i="60"/>
  <c r="K464" i="60"/>
  <c r="W463" i="60"/>
  <c r="V463" i="60"/>
  <c r="K463" i="60"/>
  <c r="V462" i="60"/>
  <c r="K462" i="60"/>
  <c r="V461" i="60"/>
  <c r="K461" i="60"/>
  <c r="W459" i="60"/>
  <c r="V459" i="60"/>
  <c r="K459" i="60"/>
  <c r="W458" i="60"/>
  <c r="W478" i="60" s="1"/>
  <c r="V458" i="60"/>
  <c r="K458" i="60"/>
  <c r="V456" i="60"/>
  <c r="K456" i="60"/>
  <c r="V455" i="60"/>
  <c r="K455" i="60"/>
  <c r="V454" i="60"/>
  <c r="K454" i="60"/>
  <c r="V453" i="60"/>
  <c r="K453" i="60"/>
  <c r="V452" i="60"/>
  <c r="K452" i="60"/>
  <c r="V451" i="60"/>
  <c r="V478" i="60" s="1"/>
  <c r="K451" i="60"/>
  <c r="V450" i="60"/>
  <c r="K450" i="60"/>
  <c r="K478" i="60" s="1"/>
  <c r="O700" i="45" l="1"/>
  <c r="P700" i="45" s="1"/>
  <c r="AG700" i="45" s="1"/>
  <c r="AD700" i="45"/>
  <c r="AE700" i="45" s="1"/>
  <c r="O717" i="45"/>
  <c r="P717" i="45" s="1"/>
  <c r="AD697" i="45"/>
  <c r="AF697" i="45" s="1"/>
  <c r="AD692" i="45"/>
  <c r="AE692" i="45" s="1"/>
  <c r="O696" i="45"/>
  <c r="P696" i="45" s="1"/>
  <c r="O718" i="45"/>
  <c r="P718" i="45" s="1"/>
  <c r="AD691" i="45"/>
  <c r="AE691" i="45" s="1"/>
  <c r="AD698" i="45"/>
  <c r="AE698" i="45" s="1"/>
  <c r="AI698" i="45" s="1"/>
  <c r="AD703" i="45"/>
  <c r="AE703" i="45" s="1"/>
  <c r="AH724" i="45"/>
  <c r="O709" i="45"/>
  <c r="P709" i="45" s="1"/>
  <c r="AD718" i="45"/>
  <c r="O723" i="45"/>
  <c r="P723" i="45" s="1"/>
  <c r="AD722" i="45"/>
  <c r="AF722" i="45" s="1"/>
  <c r="AD721" i="45"/>
  <c r="AE721" i="45" s="1"/>
  <c r="O687" i="45"/>
  <c r="P687" i="45" s="1"/>
  <c r="O691" i="45"/>
  <c r="P691" i="45" s="1"/>
  <c r="O692" i="45"/>
  <c r="P692" i="45" s="1"/>
  <c r="AG692" i="45" s="1"/>
  <c r="O695" i="45"/>
  <c r="P695" i="45" s="1"/>
  <c r="AD709" i="45"/>
  <c r="AD712" i="45"/>
  <c r="AF712" i="45" s="1"/>
  <c r="AD713" i="45"/>
  <c r="AE713" i="45" s="1"/>
  <c r="O721" i="45"/>
  <c r="P721" i="45" s="1"/>
  <c r="AI687" i="45"/>
  <c r="AG687" i="45"/>
  <c r="AI691" i="45"/>
  <c r="AI692" i="45"/>
  <c r="AE695" i="45"/>
  <c r="AE696" i="45"/>
  <c r="AF696" i="45"/>
  <c r="AE709" i="45"/>
  <c r="AG699" i="45"/>
  <c r="AI699" i="45"/>
  <c r="AI700" i="45"/>
  <c r="AG703" i="45"/>
  <c r="AI703" i="45"/>
  <c r="AE712" i="45"/>
  <c r="AF713" i="45"/>
  <c r="AF717" i="45"/>
  <c r="AE717" i="45"/>
  <c r="AG717" i="45" s="1"/>
  <c r="AF721" i="45"/>
  <c r="AF699" i="45"/>
  <c r="AF703" i="45"/>
  <c r="AF704" i="45"/>
  <c r="AF705" i="45"/>
  <c r="AE705" i="45"/>
  <c r="AF700" i="45" l="1"/>
  <c r="AF709" i="45"/>
  <c r="AF718" i="45"/>
  <c r="P724" i="45"/>
  <c r="AE722" i="45"/>
  <c r="AG722" i="45" s="1"/>
  <c r="AG691" i="45"/>
  <c r="AF698" i="45"/>
  <c r="AG698" i="45"/>
  <c r="AE697" i="45"/>
  <c r="AG697" i="45" s="1"/>
  <c r="AF692" i="45"/>
  <c r="AE718" i="45"/>
  <c r="AI718" i="45" s="1"/>
  <c r="AF695" i="45"/>
  <c r="AF691" i="45"/>
  <c r="AF687" i="45"/>
  <c r="AI712" i="45"/>
  <c r="AG712" i="45"/>
  <c r="AI696" i="45"/>
  <c r="AG696" i="45"/>
  <c r="AI713" i="45"/>
  <c r="AG713" i="45"/>
  <c r="AG718" i="45"/>
  <c r="AI705" i="45"/>
  <c r="AG705" i="45"/>
  <c r="AI709" i="45"/>
  <c r="AG709" i="45"/>
  <c r="AI695" i="45"/>
  <c r="AG695" i="45"/>
  <c r="AG721" i="45"/>
  <c r="AI721" i="45"/>
  <c r="AE724" i="45"/>
  <c r="AI724" i="45" l="1"/>
  <c r="AG724" i="45"/>
  <c r="AC675" i="45"/>
  <c r="Z675" i="45"/>
  <c r="AE675" i="45" s="1"/>
  <c r="N675" i="45"/>
  <c r="K675" i="45"/>
  <c r="AC674" i="45"/>
  <c r="Z674" i="45"/>
  <c r="N674" i="45"/>
  <c r="K674" i="45"/>
  <c r="AC673" i="45"/>
  <c r="Z673" i="45"/>
  <c r="N673" i="45"/>
  <c r="K673" i="45"/>
  <c r="AC672" i="45"/>
  <c r="Z672" i="45"/>
  <c r="N672" i="45"/>
  <c r="K672" i="45"/>
  <c r="AC671" i="45"/>
  <c r="Z671" i="45"/>
  <c r="AE671" i="45" s="1"/>
  <c r="AG671" i="45" s="1"/>
  <c r="N671" i="45"/>
  <c r="K671" i="45"/>
  <c r="P671" i="45" s="1"/>
  <c r="AC670" i="45"/>
  <c r="Z670" i="45"/>
  <c r="N670" i="45"/>
  <c r="K670" i="45"/>
  <c r="AC669" i="45"/>
  <c r="Z669" i="45"/>
  <c r="AE669" i="45" s="1"/>
  <c r="N669" i="45"/>
  <c r="K669" i="45"/>
  <c r="AC668" i="45"/>
  <c r="Z668" i="45"/>
  <c r="AE668" i="45" s="1"/>
  <c r="N668" i="45"/>
  <c r="K668" i="45"/>
  <c r="AI667" i="45"/>
  <c r="AH667" i="45"/>
  <c r="AF667" i="45"/>
  <c r="AD667" i="45"/>
  <c r="AB667" i="45"/>
  <c r="AA667" i="45"/>
  <c r="Y667" i="45"/>
  <c r="X667" i="45"/>
  <c r="W667" i="45"/>
  <c r="V667" i="45"/>
  <c r="U667" i="45"/>
  <c r="T667" i="45"/>
  <c r="S667" i="45"/>
  <c r="R667" i="45"/>
  <c r="Q667" i="45"/>
  <c r="O667" i="45"/>
  <c r="N667" i="45"/>
  <c r="M667" i="45"/>
  <c r="L667" i="45"/>
  <c r="J667" i="45"/>
  <c r="I667" i="45"/>
  <c r="H667" i="45"/>
  <c r="G667" i="45"/>
  <c r="F667" i="45"/>
  <c r="E667" i="45"/>
  <c r="D667" i="45"/>
  <c r="C667" i="45"/>
  <c r="B667" i="45"/>
  <c r="AC666" i="45"/>
  <c r="Z666" i="45"/>
  <c r="N666" i="45"/>
  <c r="K666" i="45"/>
  <c r="AC665" i="45"/>
  <c r="Z665" i="45"/>
  <c r="AE665" i="45" s="1"/>
  <c r="N665" i="45"/>
  <c r="K665" i="45"/>
  <c r="P665" i="45" s="1"/>
  <c r="AC664" i="45"/>
  <c r="Z664" i="45"/>
  <c r="N664" i="45"/>
  <c r="K664" i="45"/>
  <c r="AC663" i="45"/>
  <c r="Z663" i="45"/>
  <c r="N663" i="45"/>
  <c r="K663" i="45"/>
  <c r="P663" i="45" s="1"/>
  <c r="AC662" i="45"/>
  <c r="AE662" i="45" s="1"/>
  <c r="Z662" i="45"/>
  <c r="N662" i="45"/>
  <c r="K662" i="45"/>
  <c r="P662" i="45" s="1"/>
  <c r="AI661" i="45"/>
  <c r="AH661" i="45"/>
  <c r="AF661" i="45"/>
  <c r="AD661" i="45"/>
  <c r="AB661" i="45"/>
  <c r="AA661" i="45"/>
  <c r="Y661" i="45"/>
  <c r="X661" i="45"/>
  <c r="W661" i="45"/>
  <c r="V661" i="45"/>
  <c r="U661" i="45"/>
  <c r="T661" i="45"/>
  <c r="S661" i="45"/>
  <c r="R661" i="45"/>
  <c r="Q661" i="45"/>
  <c r="O661" i="45"/>
  <c r="M661" i="45"/>
  <c r="L661" i="45"/>
  <c r="J661" i="45"/>
  <c r="I661" i="45"/>
  <c r="H661" i="45"/>
  <c r="G661" i="45"/>
  <c r="F661" i="45"/>
  <c r="E661" i="45"/>
  <c r="D661" i="45"/>
  <c r="C661" i="45"/>
  <c r="B661" i="45"/>
  <c r="AC660" i="45"/>
  <c r="Z660" i="45"/>
  <c r="N660" i="45"/>
  <c r="K660" i="45"/>
  <c r="P660" i="45" s="1"/>
  <c r="AC659" i="45"/>
  <c r="Z659" i="45"/>
  <c r="N659" i="45"/>
  <c r="K659" i="45"/>
  <c r="AC658" i="45"/>
  <c r="Z658" i="45"/>
  <c r="N658" i="45"/>
  <c r="K658" i="45"/>
  <c r="AC657" i="45"/>
  <c r="Z657" i="45"/>
  <c r="AE657" i="45" s="1"/>
  <c r="N657" i="45"/>
  <c r="P657" i="45" s="1"/>
  <c r="K657" i="45"/>
  <c r="AC656" i="45"/>
  <c r="Z656" i="45"/>
  <c r="N656" i="45"/>
  <c r="K656" i="45"/>
  <c r="P656" i="45" s="1"/>
  <c r="AI655" i="45"/>
  <c r="AH655" i="45"/>
  <c r="AF655" i="45"/>
  <c r="AD655" i="45"/>
  <c r="AB655" i="45"/>
  <c r="AA655" i="45"/>
  <c r="Y655" i="45"/>
  <c r="X655" i="45"/>
  <c r="W655" i="45"/>
  <c r="V655" i="45"/>
  <c r="U655" i="45"/>
  <c r="T655" i="45"/>
  <c r="S655" i="45"/>
  <c r="R655" i="45"/>
  <c r="Q655" i="45"/>
  <c r="O655" i="45"/>
  <c r="N655" i="45"/>
  <c r="M655" i="45"/>
  <c r="L655" i="45"/>
  <c r="J655" i="45"/>
  <c r="I655" i="45"/>
  <c r="H655" i="45"/>
  <c r="G655" i="45"/>
  <c r="F655" i="45"/>
  <c r="E655" i="45"/>
  <c r="D655" i="45"/>
  <c r="C655" i="45"/>
  <c r="B655" i="45"/>
  <c r="AC654" i="45"/>
  <c r="Z654" i="45"/>
  <c r="N654" i="45"/>
  <c r="K654" i="45"/>
  <c r="P654" i="45" s="1"/>
  <c r="AC653" i="45"/>
  <c r="Z653" i="45"/>
  <c r="AE653" i="45" s="1"/>
  <c r="N653" i="45"/>
  <c r="K653" i="45"/>
  <c r="P653" i="45" s="1"/>
  <c r="AC652" i="45"/>
  <c r="Z652" i="45"/>
  <c r="N652" i="45"/>
  <c r="K652" i="45"/>
  <c r="AC651" i="45"/>
  <c r="Z651" i="45"/>
  <c r="N651" i="45"/>
  <c r="K651" i="45"/>
  <c r="P651" i="45" s="1"/>
  <c r="AC650" i="45"/>
  <c r="AE650" i="45" s="1"/>
  <c r="Z650" i="45"/>
  <c r="N650" i="45"/>
  <c r="K650" i="45"/>
  <c r="AI649" i="45"/>
  <c r="AH649" i="45"/>
  <c r="AF649" i="45"/>
  <c r="AD649" i="45"/>
  <c r="AB649" i="45"/>
  <c r="AA649" i="45"/>
  <c r="Y649" i="45"/>
  <c r="X649" i="45"/>
  <c r="W649" i="45"/>
  <c r="V649" i="45"/>
  <c r="U649" i="45"/>
  <c r="T649" i="45"/>
  <c r="S649" i="45"/>
  <c r="R649" i="45"/>
  <c r="Q649" i="45"/>
  <c r="O649" i="45"/>
  <c r="M649" i="45"/>
  <c r="L649" i="45"/>
  <c r="J649" i="45"/>
  <c r="I649" i="45"/>
  <c r="H649" i="45"/>
  <c r="G649" i="45"/>
  <c r="F649" i="45"/>
  <c r="E649" i="45"/>
  <c r="D649" i="45"/>
  <c r="C649" i="45"/>
  <c r="B649" i="45"/>
  <c r="AC648" i="45"/>
  <c r="Z648" i="45"/>
  <c r="N648" i="45"/>
  <c r="K648" i="45"/>
  <c r="AC647" i="45"/>
  <c r="Z647" i="45"/>
  <c r="AE647" i="45" s="1"/>
  <c r="N647" i="45"/>
  <c r="K647" i="45"/>
  <c r="P647" i="45" s="1"/>
  <c r="AC646" i="45"/>
  <c r="Z646" i="45"/>
  <c r="N646" i="45"/>
  <c r="K646" i="45"/>
  <c r="AC645" i="45"/>
  <c r="Z645" i="45"/>
  <c r="N645" i="45"/>
  <c r="K645" i="45"/>
  <c r="AC644" i="45"/>
  <c r="Z644" i="45"/>
  <c r="AE644" i="45" s="1"/>
  <c r="N644" i="45"/>
  <c r="K644" i="45"/>
  <c r="P644" i="45" s="1"/>
  <c r="AI643" i="45"/>
  <c r="AH643" i="45"/>
  <c r="AF643" i="45"/>
  <c r="AD643" i="45"/>
  <c r="AB643" i="45"/>
  <c r="AA643" i="45"/>
  <c r="Y643" i="45"/>
  <c r="X643" i="45"/>
  <c r="W643" i="45"/>
  <c r="V643" i="45"/>
  <c r="U643" i="45"/>
  <c r="T643" i="45"/>
  <c r="S643" i="45"/>
  <c r="R643" i="45"/>
  <c r="Q643" i="45"/>
  <c r="O643" i="45"/>
  <c r="M643" i="45"/>
  <c r="L643" i="45"/>
  <c r="J643" i="45"/>
  <c r="I643" i="45"/>
  <c r="H643" i="45"/>
  <c r="G643" i="45"/>
  <c r="F643" i="45"/>
  <c r="E643" i="45"/>
  <c r="D643" i="45"/>
  <c r="C643" i="45"/>
  <c r="B643" i="45"/>
  <c r="AC642" i="45"/>
  <c r="Z642" i="45"/>
  <c r="AE642" i="45" s="1"/>
  <c r="N642" i="45"/>
  <c r="K642" i="45"/>
  <c r="AC641" i="45"/>
  <c r="Z641" i="45"/>
  <c r="N641" i="45"/>
  <c r="K641" i="45"/>
  <c r="P641" i="45" s="1"/>
  <c r="AC640" i="45"/>
  <c r="Z640" i="45"/>
  <c r="AE640" i="45" s="1"/>
  <c r="N640" i="45"/>
  <c r="K640" i="45"/>
  <c r="AC639" i="45"/>
  <c r="Z639" i="45"/>
  <c r="N639" i="45"/>
  <c r="K639" i="45"/>
  <c r="AC638" i="45"/>
  <c r="Z638" i="45"/>
  <c r="AE638" i="45" s="1"/>
  <c r="N638" i="45"/>
  <c r="K638" i="45"/>
  <c r="K637" i="45" s="1"/>
  <c r="AI637" i="45"/>
  <c r="AH637" i="45"/>
  <c r="AF637" i="45"/>
  <c r="AD637" i="45"/>
  <c r="AB637" i="45"/>
  <c r="AA637" i="45"/>
  <c r="Y637" i="45"/>
  <c r="X637" i="45"/>
  <c r="W637" i="45"/>
  <c r="V637" i="45"/>
  <c r="U637" i="45"/>
  <c r="T637" i="45"/>
  <c r="S637" i="45"/>
  <c r="R637" i="45"/>
  <c r="Q637" i="45"/>
  <c r="O637" i="45"/>
  <c r="M637" i="45"/>
  <c r="L637" i="45"/>
  <c r="J637" i="45"/>
  <c r="I637" i="45"/>
  <c r="H637" i="45"/>
  <c r="G637" i="45"/>
  <c r="F637" i="45"/>
  <c r="E637" i="45"/>
  <c r="D637" i="45"/>
  <c r="C637" i="45"/>
  <c r="B637" i="45"/>
  <c r="AC636" i="45"/>
  <c r="Z636" i="45"/>
  <c r="AE636" i="45" s="1"/>
  <c r="AG636" i="45" s="1"/>
  <c r="N636" i="45"/>
  <c r="K636" i="45"/>
  <c r="P636" i="45" s="1"/>
  <c r="AC635" i="45"/>
  <c r="Z635" i="45"/>
  <c r="N635" i="45"/>
  <c r="C635" i="45"/>
  <c r="K635" i="45" s="1"/>
  <c r="P635" i="45" s="1"/>
  <c r="AC634" i="45"/>
  <c r="Z634" i="45"/>
  <c r="N634" i="45"/>
  <c r="C634" i="45"/>
  <c r="K634" i="45" s="1"/>
  <c r="AC633" i="45"/>
  <c r="Z633" i="45"/>
  <c r="AE633" i="45" s="1"/>
  <c r="N633" i="45"/>
  <c r="C633" i="45"/>
  <c r="K633" i="45" s="1"/>
  <c r="P633" i="45" s="1"/>
  <c r="AC632" i="45"/>
  <c r="Z632" i="45"/>
  <c r="AE632" i="45" s="1"/>
  <c r="N632" i="45"/>
  <c r="N631" i="45" s="1"/>
  <c r="C632" i="45"/>
  <c r="K632" i="45" s="1"/>
  <c r="AI631" i="45"/>
  <c r="AH631" i="45"/>
  <c r="AF631" i="45"/>
  <c r="AD631" i="45"/>
  <c r="AB631" i="45"/>
  <c r="AA631" i="45"/>
  <c r="Z631" i="45"/>
  <c r="Y631" i="45"/>
  <c r="X631" i="45"/>
  <c r="W631" i="45"/>
  <c r="V631" i="45"/>
  <c r="U631" i="45"/>
  <c r="T631" i="45"/>
  <c r="S631" i="45"/>
  <c r="R631" i="45"/>
  <c r="Q631" i="45"/>
  <c r="O631" i="45"/>
  <c r="M631" i="45"/>
  <c r="L631" i="45"/>
  <c r="J631" i="45"/>
  <c r="I631" i="45"/>
  <c r="H631" i="45"/>
  <c r="G631" i="45"/>
  <c r="F631" i="45"/>
  <c r="E631" i="45"/>
  <c r="D631" i="45"/>
  <c r="B631" i="45"/>
  <c r="AC630" i="45"/>
  <c r="Z630" i="45"/>
  <c r="AE630" i="45" s="1"/>
  <c r="N630" i="45"/>
  <c r="K630" i="45"/>
  <c r="AC629" i="45"/>
  <c r="Z629" i="45"/>
  <c r="AE629" i="45" s="1"/>
  <c r="N629" i="45"/>
  <c r="K629" i="45"/>
  <c r="AC628" i="45"/>
  <c r="Z628" i="45"/>
  <c r="AE628" i="45" s="1"/>
  <c r="N628" i="45"/>
  <c r="K628" i="45"/>
  <c r="P628" i="45" s="1"/>
  <c r="AC627" i="45"/>
  <c r="Z627" i="45"/>
  <c r="AE627" i="45" s="1"/>
  <c r="N627" i="45"/>
  <c r="K627" i="45"/>
  <c r="P627" i="45" s="1"/>
  <c r="AC626" i="45"/>
  <c r="Z626" i="45"/>
  <c r="N626" i="45"/>
  <c r="K626" i="45"/>
  <c r="AC625" i="45"/>
  <c r="Z625" i="45"/>
  <c r="N625" i="45"/>
  <c r="K625" i="45"/>
  <c r="AC624" i="45"/>
  <c r="Z624" i="45"/>
  <c r="N624" i="45"/>
  <c r="N621" i="45" s="1"/>
  <c r="K624" i="45"/>
  <c r="AC623" i="45"/>
  <c r="Z623" i="45"/>
  <c r="N623" i="45"/>
  <c r="K623" i="45"/>
  <c r="P623" i="45" s="1"/>
  <c r="AC622" i="45"/>
  <c r="AE622" i="45" s="1"/>
  <c r="Z622" i="45"/>
  <c r="N622" i="45"/>
  <c r="K622" i="45"/>
  <c r="AI621" i="45"/>
  <c r="AH621" i="45"/>
  <c r="AF621" i="45"/>
  <c r="AD621" i="45"/>
  <c r="AB621" i="45"/>
  <c r="AA621" i="45"/>
  <c r="Y621" i="45"/>
  <c r="X621" i="45"/>
  <c r="W621" i="45"/>
  <c r="V621" i="45"/>
  <c r="U621" i="45"/>
  <c r="T621" i="45"/>
  <c r="S621" i="45"/>
  <c r="R621" i="45"/>
  <c r="Q621" i="45"/>
  <c r="O621" i="45"/>
  <c r="M621" i="45"/>
  <c r="L621" i="45"/>
  <c r="J621" i="45"/>
  <c r="I621" i="45"/>
  <c r="H621" i="45"/>
  <c r="G621" i="45"/>
  <c r="F621" i="45"/>
  <c r="E621" i="45"/>
  <c r="D621" i="45"/>
  <c r="C621" i="45"/>
  <c r="B621" i="45"/>
  <c r="AC620" i="45"/>
  <c r="Z620" i="45"/>
  <c r="AE620" i="45" s="1"/>
  <c r="N620" i="45"/>
  <c r="K620" i="45"/>
  <c r="P620" i="45" s="1"/>
  <c r="AC619" i="45"/>
  <c r="Z619" i="45"/>
  <c r="AE619" i="45" s="1"/>
  <c r="N619" i="45"/>
  <c r="K619" i="45"/>
  <c r="P619" i="45" s="1"/>
  <c r="AC618" i="45"/>
  <c r="Z618" i="45"/>
  <c r="N618" i="45"/>
  <c r="K618" i="45"/>
  <c r="P618" i="45" s="1"/>
  <c r="AC617" i="45"/>
  <c r="AE617" i="45" s="1"/>
  <c r="Z617" i="45"/>
  <c r="N617" i="45"/>
  <c r="K617" i="45"/>
  <c r="AC616" i="45"/>
  <c r="Z616" i="45"/>
  <c r="AE616" i="45" s="1"/>
  <c r="N616" i="45"/>
  <c r="K616" i="45"/>
  <c r="P616" i="45" s="1"/>
  <c r="AC615" i="45"/>
  <c r="Z615" i="45"/>
  <c r="N615" i="45"/>
  <c r="N614" i="45" s="1"/>
  <c r="K615" i="45"/>
  <c r="AI614" i="45"/>
  <c r="AH614" i="45"/>
  <c r="AF614" i="45"/>
  <c r="AD614" i="45"/>
  <c r="AB614" i="45"/>
  <c r="AA614" i="45"/>
  <c r="Y614" i="45"/>
  <c r="X614" i="45"/>
  <c r="W614" i="45"/>
  <c r="V614" i="45"/>
  <c r="U614" i="45"/>
  <c r="T614" i="45"/>
  <c r="S614" i="45"/>
  <c r="R614" i="45"/>
  <c r="Q614" i="45"/>
  <c r="O614" i="45"/>
  <c r="M614" i="45"/>
  <c r="L614" i="45"/>
  <c r="J614" i="45"/>
  <c r="I614" i="45"/>
  <c r="H614" i="45"/>
  <c r="G614" i="45"/>
  <c r="F614" i="45"/>
  <c r="E614" i="45"/>
  <c r="D614" i="45"/>
  <c r="C614" i="45"/>
  <c r="B614" i="45"/>
  <c r="AC613" i="45"/>
  <c r="Z613" i="45"/>
  <c r="N613" i="45"/>
  <c r="K613" i="45"/>
  <c r="P613" i="45" s="1"/>
  <c r="AC612" i="45"/>
  <c r="Z612" i="45"/>
  <c r="AE612" i="45" s="1"/>
  <c r="AG612" i="45" s="1"/>
  <c r="N612" i="45"/>
  <c r="K612" i="45"/>
  <c r="P612" i="45" s="1"/>
  <c r="AC611" i="45"/>
  <c r="Z611" i="45"/>
  <c r="N611" i="45"/>
  <c r="K611" i="45"/>
  <c r="AC610" i="45"/>
  <c r="Z610" i="45"/>
  <c r="N610" i="45"/>
  <c r="C610" i="45"/>
  <c r="K610" i="45" s="1"/>
  <c r="AC609" i="45"/>
  <c r="Z609" i="45"/>
  <c r="AE609" i="45" s="1"/>
  <c r="N609" i="45"/>
  <c r="C609" i="45"/>
  <c r="AC608" i="45"/>
  <c r="Z608" i="45"/>
  <c r="N608" i="45"/>
  <c r="C608" i="45"/>
  <c r="K608" i="45" s="1"/>
  <c r="AI607" i="45"/>
  <c r="AH607" i="45"/>
  <c r="AF607" i="45"/>
  <c r="AD607" i="45"/>
  <c r="AB607" i="45"/>
  <c r="AA607" i="45"/>
  <c r="Y607" i="45"/>
  <c r="X607" i="45"/>
  <c r="W607" i="45"/>
  <c r="V607" i="45"/>
  <c r="U607" i="45"/>
  <c r="T607" i="45"/>
  <c r="S607" i="45"/>
  <c r="R607" i="45"/>
  <c r="Q607" i="45"/>
  <c r="O607" i="45"/>
  <c r="M607" i="45"/>
  <c r="L607" i="45"/>
  <c r="J607" i="45"/>
  <c r="I607" i="45"/>
  <c r="H607" i="45"/>
  <c r="G607" i="45"/>
  <c r="F607" i="45"/>
  <c r="E607" i="45"/>
  <c r="D607" i="45"/>
  <c r="B607" i="45"/>
  <c r="AC606" i="45"/>
  <c r="AE606" i="45" s="1"/>
  <c r="Z606" i="45"/>
  <c r="N606" i="45"/>
  <c r="C606" i="45"/>
  <c r="AC605" i="45"/>
  <c r="Z605" i="45"/>
  <c r="AE605" i="45" s="1"/>
  <c r="N605" i="45"/>
  <c r="K605" i="45"/>
  <c r="P605" i="45" s="1"/>
  <c r="AC604" i="45"/>
  <c r="Z604" i="45"/>
  <c r="N604" i="45"/>
  <c r="K604" i="45"/>
  <c r="P604" i="45" s="1"/>
  <c r="AC603" i="45"/>
  <c r="Z603" i="45"/>
  <c r="AE603" i="45" s="1"/>
  <c r="N603" i="45"/>
  <c r="K603" i="45"/>
  <c r="AC602" i="45"/>
  <c r="Z602" i="45"/>
  <c r="N602" i="45"/>
  <c r="K602" i="45"/>
  <c r="AC601" i="45"/>
  <c r="AC600" i="45" s="1"/>
  <c r="Z601" i="45"/>
  <c r="AE601" i="45" s="1"/>
  <c r="N601" i="45"/>
  <c r="K601" i="45"/>
  <c r="AI600" i="45"/>
  <c r="AH600" i="45"/>
  <c r="AF600" i="45"/>
  <c r="AD600" i="45"/>
  <c r="AB600" i="45"/>
  <c r="AA600" i="45"/>
  <c r="Y600" i="45"/>
  <c r="X600" i="45"/>
  <c r="W600" i="45"/>
  <c r="V600" i="45"/>
  <c r="U600" i="45"/>
  <c r="T600" i="45"/>
  <c r="S600" i="45"/>
  <c r="R600" i="45"/>
  <c r="Q600" i="45"/>
  <c r="O600" i="45"/>
  <c r="M600" i="45"/>
  <c r="L600" i="45"/>
  <c r="J600" i="45"/>
  <c r="I600" i="45"/>
  <c r="H600" i="45"/>
  <c r="G600" i="45"/>
  <c r="F600" i="45"/>
  <c r="E600" i="45"/>
  <c r="D600" i="45"/>
  <c r="B600" i="45"/>
  <c r="AC599" i="45"/>
  <c r="AE599" i="45" s="1"/>
  <c r="Z599" i="45"/>
  <c r="N599" i="45"/>
  <c r="K599" i="45"/>
  <c r="AC598" i="45"/>
  <c r="Z598" i="45"/>
  <c r="AE598" i="45" s="1"/>
  <c r="N598" i="45"/>
  <c r="K598" i="45"/>
  <c r="AC597" i="45"/>
  <c r="Z597" i="45"/>
  <c r="N597" i="45"/>
  <c r="K597" i="45"/>
  <c r="P597" i="45" s="1"/>
  <c r="AC596" i="45"/>
  <c r="Z596" i="45"/>
  <c r="AE596" i="45" s="1"/>
  <c r="N596" i="45"/>
  <c r="P596" i="45" s="1"/>
  <c r="K596" i="45"/>
  <c r="AC595" i="45"/>
  <c r="Z595" i="45"/>
  <c r="AE595" i="45" s="1"/>
  <c r="N595" i="45"/>
  <c r="K595" i="45"/>
  <c r="P595" i="45" s="1"/>
  <c r="AC594" i="45"/>
  <c r="Z594" i="45"/>
  <c r="N594" i="45"/>
  <c r="K594" i="45"/>
  <c r="AC593" i="45"/>
  <c r="Z593" i="45"/>
  <c r="N593" i="45"/>
  <c r="K593" i="45"/>
  <c r="AC592" i="45"/>
  <c r="Z592" i="45"/>
  <c r="AE592" i="45" s="1"/>
  <c r="N592" i="45"/>
  <c r="K592" i="45"/>
  <c r="AI591" i="45"/>
  <c r="AH591" i="45"/>
  <c r="AF591" i="45"/>
  <c r="AD591" i="45"/>
  <c r="AB591" i="45"/>
  <c r="AA591" i="45"/>
  <c r="Y591" i="45"/>
  <c r="X591" i="45"/>
  <c r="W591" i="45"/>
  <c r="V591" i="45"/>
  <c r="U591" i="45"/>
  <c r="T591" i="45"/>
  <c r="S591" i="45"/>
  <c r="R591" i="45"/>
  <c r="Q591" i="45"/>
  <c r="O591" i="45"/>
  <c r="M591" i="45"/>
  <c r="L591" i="45"/>
  <c r="L676" i="45" s="1"/>
  <c r="J591" i="45"/>
  <c r="I591" i="45"/>
  <c r="I676" i="45" s="1"/>
  <c r="H591" i="45"/>
  <c r="G591" i="45"/>
  <c r="F591" i="45"/>
  <c r="F676" i="45" s="1"/>
  <c r="E591" i="45"/>
  <c r="D591" i="45"/>
  <c r="C591" i="45"/>
  <c r="B591" i="45"/>
  <c r="G196" i="32"/>
  <c r="E196" i="32"/>
  <c r="C196" i="32"/>
  <c r="I194" i="32"/>
  <c r="H194" i="32"/>
  <c r="I193" i="32"/>
  <c r="I192" i="32"/>
  <c r="H192" i="32"/>
  <c r="I191" i="32"/>
  <c r="I190" i="32"/>
  <c r="I189" i="32"/>
  <c r="I188" i="32"/>
  <c r="I187" i="32"/>
  <c r="I186" i="32"/>
  <c r="I185" i="32"/>
  <c r="I184" i="32"/>
  <c r="I183" i="32"/>
  <c r="I182" i="32"/>
  <c r="I181" i="32"/>
  <c r="I180" i="32"/>
  <c r="I179" i="32"/>
  <c r="H179" i="32"/>
  <c r="W435" i="60"/>
  <c r="V435" i="60"/>
  <c r="L435" i="60"/>
  <c r="L427" i="60" s="1"/>
  <c r="K435" i="60"/>
  <c r="V434" i="60"/>
  <c r="K434" i="60"/>
  <c r="V433" i="60"/>
  <c r="K433" i="60"/>
  <c r="V432" i="60"/>
  <c r="K432" i="60"/>
  <c r="V431" i="60"/>
  <c r="K431" i="60"/>
  <c r="V430" i="60"/>
  <c r="K430" i="60"/>
  <c r="V429" i="60"/>
  <c r="K429" i="60"/>
  <c r="V428" i="60"/>
  <c r="K428" i="60"/>
  <c r="K427" i="60" s="1"/>
  <c r="W427" i="60"/>
  <c r="U427" i="60"/>
  <c r="T427" i="60"/>
  <c r="S427" i="60"/>
  <c r="R427" i="60"/>
  <c r="Q427" i="60"/>
  <c r="N427" i="60"/>
  <c r="M427" i="60"/>
  <c r="J427" i="60"/>
  <c r="I427" i="60"/>
  <c r="H427" i="60"/>
  <c r="G427" i="60"/>
  <c r="F427" i="60"/>
  <c r="C427" i="60"/>
  <c r="B427" i="60"/>
  <c r="V426" i="60"/>
  <c r="K426" i="60"/>
  <c r="V425" i="60"/>
  <c r="K425" i="60"/>
  <c r="V424" i="60"/>
  <c r="K424" i="60"/>
  <c r="V423" i="60"/>
  <c r="K423" i="60"/>
  <c r="V422" i="60"/>
  <c r="V421" i="60" s="1"/>
  <c r="K422" i="60"/>
  <c r="W421" i="60"/>
  <c r="U421" i="60"/>
  <c r="T421" i="60"/>
  <c r="S421" i="60"/>
  <c r="R421" i="60"/>
  <c r="Q421" i="60"/>
  <c r="P421" i="60"/>
  <c r="O421" i="60"/>
  <c r="N421" i="60"/>
  <c r="M421" i="60"/>
  <c r="L421" i="60"/>
  <c r="J421" i="60"/>
  <c r="I421" i="60"/>
  <c r="H421" i="60"/>
  <c r="G421" i="60"/>
  <c r="F421" i="60"/>
  <c r="E421" i="60"/>
  <c r="D421" i="60"/>
  <c r="K421" i="60" s="1"/>
  <c r="C421" i="60"/>
  <c r="B421" i="60"/>
  <c r="V420" i="60"/>
  <c r="K420" i="60"/>
  <c r="V419" i="60"/>
  <c r="K419" i="60"/>
  <c r="V418" i="60"/>
  <c r="K418" i="60"/>
  <c r="V417" i="60"/>
  <c r="K417" i="60"/>
  <c r="V416" i="60"/>
  <c r="V415" i="60" s="1"/>
  <c r="K416" i="60"/>
  <c r="K415" i="60" s="1"/>
  <c r="W415" i="60"/>
  <c r="U415" i="60"/>
  <c r="T415" i="60"/>
  <c r="S415" i="60"/>
  <c r="R415" i="60"/>
  <c r="Q415" i="60"/>
  <c r="N415" i="60"/>
  <c r="M415" i="60"/>
  <c r="L415" i="60"/>
  <c r="J415" i="60"/>
  <c r="I415" i="60"/>
  <c r="H415" i="60"/>
  <c r="G415" i="60"/>
  <c r="F415" i="60"/>
  <c r="C415" i="60"/>
  <c r="B415" i="60"/>
  <c r="V414" i="60"/>
  <c r="K414" i="60"/>
  <c r="V413" i="60"/>
  <c r="K413" i="60"/>
  <c r="V412" i="60"/>
  <c r="K412" i="60"/>
  <c r="V411" i="60"/>
  <c r="K411" i="60"/>
  <c r="V410" i="60"/>
  <c r="K410" i="60"/>
  <c r="W409" i="60"/>
  <c r="V409" i="60"/>
  <c r="U409" i="60"/>
  <c r="T409" i="60"/>
  <c r="S409" i="60"/>
  <c r="R409" i="60"/>
  <c r="Q409" i="60"/>
  <c r="N409" i="60"/>
  <c r="M409" i="60"/>
  <c r="L409" i="60"/>
  <c r="J409" i="60"/>
  <c r="I409" i="60"/>
  <c r="H409" i="60"/>
  <c r="G409" i="60"/>
  <c r="F409" i="60"/>
  <c r="C409" i="60"/>
  <c r="B409" i="60"/>
  <c r="V408" i="60"/>
  <c r="K408" i="60"/>
  <c r="V407" i="60"/>
  <c r="K407" i="60"/>
  <c r="V406" i="60"/>
  <c r="K406" i="60"/>
  <c r="V405" i="60"/>
  <c r="K405" i="60"/>
  <c r="V404" i="60"/>
  <c r="K404" i="60"/>
  <c r="W403" i="60"/>
  <c r="U403" i="60"/>
  <c r="T403" i="60"/>
  <c r="S403" i="60"/>
  <c r="R403" i="60"/>
  <c r="Q403" i="60"/>
  <c r="N403" i="60"/>
  <c r="M403" i="60"/>
  <c r="L403" i="60"/>
  <c r="J403" i="60"/>
  <c r="I403" i="60"/>
  <c r="H403" i="60"/>
  <c r="G403" i="60"/>
  <c r="F403" i="60"/>
  <c r="C403" i="60"/>
  <c r="B403" i="60"/>
  <c r="V402" i="60"/>
  <c r="K402" i="60"/>
  <c r="V401" i="60"/>
  <c r="K401" i="60"/>
  <c r="V400" i="60"/>
  <c r="K400" i="60"/>
  <c r="V399" i="60"/>
  <c r="K399" i="60"/>
  <c r="V398" i="60"/>
  <c r="V397" i="60" s="1"/>
  <c r="K398" i="60"/>
  <c r="K397" i="60" s="1"/>
  <c r="W397" i="60"/>
  <c r="U397" i="60"/>
  <c r="T397" i="60"/>
  <c r="S397" i="60"/>
  <c r="R397" i="60"/>
  <c r="Q397" i="60"/>
  <c r="N397" i="60"/>
  <c r="M397" i="60"/>
  <c r="L397" i="60"/>
  <c r="J397" i="60"/>
  <c r="I397" i="60"/>
  <c r="H397" i="60"/>
  <c r="G397" i="60"/>
  <c r="F397" i="60"/>
  <c r="C397" i="60"/>
  <c r="B397" i="60"/>
  <c r="V396" i="60"/>
  <c r="K396" i="60"/>
  <c r="V395" i="60"/>
  <c r="K395" i="60"/>
  <c r="V394" i="60"/>
  <c r="K394" i="60"/>
  <c r="V393" i="60"/>
  <c r="K393" i="60"/>
  <c r="V392" i="60"/>
  <c r="U392" i="60"/>
  <c r="J392" i="60"/>
  <c r="K392" i="60" s="1"/>
  <c r="K391" i="60" s="1"/>
  <c r="W391" i="60"/>
  <c r="U391" i="60"/>
  <c r="T391" i="60"/>
  <c r="S391" i="60"/>
  <c r="R391" i="60"/>
  <c r="Q391" i="60"/>
  <c r="N391" i="60"/>
  <c r="M391" i="60"/>
  <c r="L391" i="60"/>
  <c r="J391" i="60"/>
  <c r="I391" i="60"/>
  <c r="H391" i="60"/>
  <c r="G391" i="60"/>
  <c r="F391" i="60"/>
  <c r="C391" i="60"/>
  <c r="B391" i="60"/>
  <c r="W381" i="60"/>
  <c r="U381" i="60"/>
  <c r="T381" i="60"/>
  <c r="S381" i="60"/>
  <c r="R381" i="60"/>
  <c r="Q381" i="60"/>
  <c r="P381" i="60"/>
  <c r="P436" i="60" s="1"/>
  <c r="O381" i="60"/>
  <c r="N381" i="60"/>
  <c r="M381" i="60"/>
  <c r="L381" i="60"/>
  <c r="J381" i="60"/>
  <c r="I381" i="60"/>
  <c r="H381" i="60"/>
  <c r="G381" i="60"/>
  <c r="F381" i="60"/>
  <c r="E381" i="60"/>
  <c r="E436" i="60" s="1"/>
  <c r="D381" i="60"/>
  <c r="K381" i="60" s="1"/>
  <c r="C381" i="60"/>
  <c r="B381" i="60"/>
  <c r="V380" i="60"/>
  <c r="K380" i="60"/>
  <c r="V379" i="60"/>
  <c r="K379" i="60"/>
  <c r="V378" i="60"/>
  <c r="K378" i="60"/>
  <c r="V377" i="60"/>
  <c r="K377" i="60"/>
  <c r="V376" i="60"/>
  <c r="K376" i="60"/>
  <c r="V375" i="60"/>
  <c r="K375" i="60"/>
  <c r="W374" i="60"/>
  <c r="V374" i="60"/>
  <c r="U374" i="60"/>
  <c r="T374" i="60"/>
  <c r="S374" i="60"/>
  <c r="R374" i="60"/>
  <c r="Q374" i="60"/>
  <c r="N374" i="60"/>
  <c r="M374" i="60"/>
  <c r="L374" i="60"/>
  <c r="J374" i="60"/>
  <c r="I374" i="60"/>
  <c r="H374" i="60"/>
  <c r="G374" i="60"/>
  <c r="F374" i="60"/>
  <c r="C374" i="60"/>
  <c r="B374" i="60"/>
  <c r="V373" i="60"/>
  <c r="K373" i="60"/>
  <c r="V372" i="60"/>
  <c r="K372" i="60"/>
  <c r="V371" i="60"/>
  <c r="K371" i="60"/>
  <c r="V370" i="60"/>
  <c r="K370" i="60"/>
  <c r="V369" i="60"/>
  <c r="K369" i="60"/>
  <c r="V368" i="60"/>
  <c r="K368" i="60"/>
  <c r="W367" i="60"/>
  <c r="U367" i="60"/>
  <c r="V367" i="60" s="1"/>
  <c r="T367" i="60"/>
  <c r="S367" i="60"/>
  <c r="R367" i="60"/>
  <c r="Q367" i="60"/>
  <c r="N367" i="60"/>
  <c r="M367" i="60"/>
  <c r="L367" i="60"/>
  <c r="J367" i="60"/>
  <c r="I367" i="60"/>
  <c r="H367" i="60"/>
  <c r="G367" i="60"/>
  <c r="F367" i="60"/>
  <c r="C367" i="60"/>
  <c r="B367" i="60"/>
  <c r="V366" i="60"/>
  <c r="K366" i="60"/>
  <c r="V365" i="60"/>
  <c r="K365" i="60"/>
  <c r="V364" i="60"/>
  <c r="K364" i="60"/>
  <c r="V363" i="60"/>
  <c r="K363" i="60"/>
  <c r="V362" i="60"/>
  <c r="K362" i="60"/>
  <c r="V361" i="60"/>
  <c r="K361" i="60"/>
  <c r="W360" i="60"/>
  <c r="V360" i="60"/>
  <c r="U360" i="60"/>
  <c r="T360" i="60"/>
  <c r="S360" i="60"/>
  <c r="R360" i="60"/>
  <c r="Q360" i="60"/>
  <c r="N360" i="60"/>
  <c r="M360" i="60"/>
  <c r="L360" i="60"/>
  <c r="J360" i="60"/>
  <c r="I360" i="60"/>
  <c r="H360" i="60"/>
  <c r="G360" i="60"/>
  <c r="F360" i="60"/>
  <c r="C360" i="60"/>
  <c r="B360" i="60"/>
  <c r="V359" i="60"/>
  <c r="K359" i="60"/>
  <c r="V358" i="60"/>
  <c r="K358" i="60"/>
  <c r="V357" i="60"/>
  <c r="K357" i="60"/>
  <c r="V356" i="60"/>
  <c r="K356" i="60"/>
  <c r="V355" i="60"/>
  <c r="K355" i="60"/>
  <c r="V354" i="60"/>
  <c r="K354" i="60"/>
  <c r="V353" i="60"/>
  <c r="K353" i="60"/>
  <c r="V352" i="60"/>
  <c r="K352" i="60"/>
  <c r="W351" i="60"/>
  <c r="W436" i="60" s="1"/>
  <c r="U351" i="60"/>
  <c r="U436" i="60" s="1"/>
  <c r="T351" i="60"/>
  <c r="T436" i="60" s="1"/>
  <c r="S351" i="60"/>
  <c r="S436" i="60" s="1"/>
  <c r="R351" i="60"/>
  <c r="R436" i="60" s="1"/>
  <c r="Q351" i="60"/>
  <c r="Q436" i="60" s="1"/>
  <c r="O351" i="60"/>
  <c r="V351" i="60" s="1"/>
  <c r="N351" i="60"/>
  <c r="M351" i="60"/>
  <c r="M436" i="60" s="1"/>
  <c r="L351" i="60"/>
  <c r="J351" i="60"/>
  <c r="J436" i="60" s="1"/>
  <c r="I351" i="60"/>
  <c r="H351" i="60"/>
  <c r="G351" i="60"/>
  <c r="G436" i="60" s="1"/>
  <c r="F351" i="60"/>
  <c r="D351" i="60"/>
  <c r="D436" i="60" s="1"/>
  <c r="C351" i="60"/>
  <c r="C436" i="60" s="1"/>
  <c r="B351" i="60"/>
  <c r="N436" i="60" l="1"/>
  <c r="I196" i="32"/>
  <c r="P659" i="45"/>
  <c r="F436" i="60"/>
  <c r="K367" i="60"/>
  <c r="P598" i="45"/>
  <c r="AE635" i="45"/>
  <c r="AG635" i="45" s="1"/>
  <c r="K661" i="45"/>
  <c r="O436" i="60"/>
  <c r="B436" i="60"/>
  <c r="V403" i="60"/>
  <c r="P601" i="45"/>
  <c r="AG616" i="45"/>
  <c r="P630" i="45"/>
  <c r="AE659" i="45"/>
  <c r="AG659" i="45" s="1"/>
  <c r="P673" i="45"/>
  <c r="H436" i="60"/>
  <c r="AC614" i="45"/>
  <c r="AE624" i="45"/>
  <c r="AC649" i="45"/>
  <c r="P669" i="45"/>
  <c r="I436" i="60"/>
  <c r="K360" i="60"/>
  <c r="V391" i="60"/>
  <c r="AG620" i="45"/>
  <c r="AC621" i="45"/>
  <c r="AG665" i="45"/>
  <c r="V427" i="60"/>
  <c r="N637" i="45"/>
  <c r="L436" i="60"/>
  <c r="K374" i="60"/>
  <c r="K409" i="60"/>
  <c r="AE615" i="45"/>
  <c r="Z649" i="45"/>
  <c r="AE656" i="45"/>
  <c r="P668" i="45"/>
  <c r="P672" i="45"/>
  <c r="P674" i="45"/>
  <c r="K403" i="60"/>
  <c r="AE593" i="45"/>
  <c r="AC661" i="45"/>
  <c r="AC591" i="45"/>
  <c r="P599" i="45"/>
  <c r="AG599" i="45" s="1"/>
  <c r="AE604" i="45"/>
  <c r="AG604" i="45" s="1"/>
  <c r="K621" i="45"/>
  <c r="P624" i="45"/>
  <c r="AG627" i="45"/>
  <c r="P629" i="45"/>
  <c r="P634" i="45"/>
  <c r="Z637" i="45"/>
  <c r="P648" i="45"/>
  <c r="AG653" i="45"/>
  <c r="P664" i="45"/>
  <c r="AE673" i="45"/>
  <c r="AG673" i="45" s="1"/>
  <c r="AG605" i="45"/>
  <c r="AH676" i="45"/>
  <c r="AG633" i="45"/>
  <c r="AG647" i="45"/>
  <c r="P594" i="45"/>
  <c r="AG619" i="45"/>
  <c r="AE625" i="45"/>
  <c r="AG629" i="45"/>
  <c r="AC643" i="45"/>
  <c r="K643" i="45"/>
  <c r="P650" i="45"/>
  <c r="Z661" i="45"/>
  <c r="P675" i="45"/>
  <c r="AG675" i="45" s="1"/>
  <c r="AG595" i="45"/>
  <c r="N600" i="45"/>
  <c r="P617" i="45"/>
  <c r="AG617" i="45" s="1"/>
  <c r="AE618" i="45"/>
  <c r="AG618" i="45" s="1"/>
  <c r="P626" i="45"/>
  <c r="P638" i="45"/>
  <c r="AG638" i="45" s="1"/>
  <c r="P642" i="45"/>
  <c r="P637" i="45" s="1"/>
  <c r="Z643" i="45"/>
  <c r="AE648" i="45"/>
  <c r="K655" i="45"/>
  <c r="AE660" i="45"/>
  <c r="AG660" i="45" s="1"/>
  <c r="K667" i="45"/>
  <c r="AE672" i="45"/>
  <c r="AG672" i="45" s="1"/>
  <c r="AE610" i="45"/>
  <c r="AG628" i="45"/>
  <c r="AG630" i="45"/>
  <c r="AC637" i="45"/>
  <c r="P646" i="45"/>
  <c r="AE651" i="45"/>
  <c r="AG651" i="45" s="1"/>
  <c r="AC655" i="45"/>
  <c r="N661" i="45"/>
  <c r="P666" i="45"/>
  <c r="AC667" i="45"/>
  <c r="P592" i="45"/>
  <c r="AG592" i="45" s="1"/>
  <c r="AE602" i="45"/>
  <c r="AE600" i="45" s="1"/>
  <c r="P611" i="45"/>
  <c r="AE613" i="45"/>
  <c r="AG613" i="45" s="1"/>
  <c r="K614" i="45"/>
  <c r="P622" i="45"/>
  <c r="AG622" i="45" s="1"/>
  <c r="P625" i="45"/>
  <c r="AE626" i="45"/>
  <c r="AG626" i="45" s="1"/>
  <c r="P640" i="45"/>
  <c r="AG640" i="45" s="1"/>
  <c r="N643" i="45"/>
  <c r="AE646" i="45"/>
  <c r="AE643" i="45" s="1"/>
  <c r="P652" i="45"/>
  <c r="AE654" i="45"/>
  <c r="Z655" i="45"/>
  <c r="AE658" i="45"/>
  <c r="AE655" i="45" s="1"/>
  <c r="AE663" i="45"/>
  <c r="AE666" i="45"/>
  <c r="Z667" i="45"/>
  <c r="AE670" i="45"/>
  <c r="AE667" i="45" s="1"/>
  <c r="AE674" i="45"/>
  <c r="AG674" i="45" s="1"/>
  <c r="AG598" i="45"/>
  <c r="AG601" i="45"/>
  <c r="O676" i="45"/>
  <c r="AE594" i="45"/>
  <c r="AG594" i="45" s="1"/>
  <c r="Z591" i="45"/>
  <c r="AG596" i="45"/>
  <c r="Z607" i="45"/>
  <c r="AE608" i="45"/>
  <c r="Q676" i="45"/>
  <c r="W676" i="45"/>
  <c r="N591" i="45"/>
  <c r="P602" i="45"/>
  <c r="K606" i="45"/>
  <c r="P606" i="45" s="1"/>
  <c r="AG606" i="45" s="1"/>
  <c r="C600" i="45"/>
  <c r="P615" i="45"/>
  <c r="P614" i="45" s="1"/>
  <c r="Z600" i="45"/>
  <c r="S676" i="45"/>
  <c r="Y676" i="45"/>
  <c r="AG602" i="45"/>
  <c r="K609" i="45"/>
  <c r="P609" i="45" s="1"/>
  <c r="AG609" i="45" s="1"/>
  <c r="C607" i="45"/>
  <c r="P610" i="45"/>
  <c r="Z614" i="45"/>
  <c r="P603" i="45"/>
  <c r="AG603" i="45" s="1"/>
  <c r="K600" i="45"/>
  <c r="K607" i="45"/>
  <c r="P608" i="45"/>
  <c r="AI676" i="45"/>
  <c r="K591" i="45"/>
  <c r="P593" i="45"/>
  <c r="AG593" i="45" s="1"/>
  <c r="N607" i="45"/>
  <c r="AG642" i="45"/>
  <c r="AG663" i="45"/>
  <c r="G676" i="45"/>
  <c r="M676" i="45"/>
  <c r="T676" i="45"/>
  <c r="AF676" i="45"/>
  <c r="V676" i="45"/>
  <c r="AB676" i="45"/>
  <c r="Z621" i="45"/>
  <c r="AE639" i="45"/>
  <c r="P645" i="45"/>
  <c r="K649" i="45"/>
  <c r="B676" i="45"/>
  <c r="H676" i="45"/>
  <c r="U676" i="45"/>
  <c r="AA676" i="45"/>
  <c r="D676" i="45"/>
  <c r="J676" i="45"/>
  <c r="AC607" i="45"/>
  <c r="AE611" i="45"/>
  <c r="AE623" i="45"/>
  <c r="AG623" i="45" s="1"/>
  <c r="C631" i="45"/>
  <c r="AC631" i="45"/>
  <c r="AE634" i="45"/>
  <c r="AE641" i="45"/>
  <c r="AG641" i="45" s="1"/>
  <c r="AE645" i="45"/>
  <c r="AE652" i="45"/>
  <c r="AG652" i="45" s="1"/>
  <c r="AG657" i="45"/>
  <c r="AG662" i="45"/>
  <c r="AG669" i="45"/>
  <c r="K631" i="45"/>
  <c r="P639" i="45"/>
  <c r="AG650" i="45"/>
  <c r="AG644" i="45"/>
  <c r="AG656" i="45"/>
  <c r="AG668" i="45"/>
  <c r="E676" i="45"/>
  <c r="R676" i="45"/>
  <c r="X676" i="45"/>
  <c r="AD676" i="45"/>
  <c r="AE597" i="45"/>
  <c r="AG597" i="45" s="1"/>
  <c r="P632" i="45"/>
  <c r="N649" i="45"/>
  <c r="AG654" i="45"/>
  <c r="P658" i="45"/>
  <c r="P655" i="45" s="1"/>
  <c r="AE664" i="45"/>
  <c r="AG664" i="45" s="1"/>
  <c r="P670" i="45"/>
  <c r="P667" i="45" s="1"/>
  <c r="K351" i="60"/>
  <c r="K436" i="60" s="1"/>
  <c r="V381" i="60"/>
  <c r="V436" i="60" s="1"/>
  <c r="AG611" i="45" l="1"/>
  <c r="AG610" i="45"/>
  <c r="C676" i="45"/>
  <c r="AE621" i="45"/>
  <c r="P643" i="45"/>
  <c r="AG666" i="45"/>
  <c r="AG661" i="45" s="1"/>
  <c r="AG648" i="45"/>
  <c r="P661" i="45"/>
  <c r="P607" i="45"/>
  <c r="P600" i="45"/>
  <c r="AE614" i="45"/>
  <c r="AG646" i="45"/>
  <c r="AG615" i="45"/>
  <c r="AG614" i="45"/>
  <c r="P621" i="45"/>
  <c r="AG625" i="45"/>
  <c r="AG624" i="45"/>
  <c r="AG621" i="45" s="1"/>
  <c r="AG649" i="45"/>
  <c r="AC676" i="45"/>
  <c r="AG658" i="45"/>
  <c r="AG591" i="45"/>
  <c r="P649" i="45"/>
  <c r="AE637" i="45"/>
  <c r="AG639" i="45"/>
  <c r="AG637" i="45" s="1"/>
  <c r="AG645" i="45"/>
  <c r="AE649" i="45"/>
  <c r="AG600" i="45"/>
  <c r="P631" i="45"/>
  <c r="AG632" i="45"/>
  <c r="AG655" i="45"/>
  <c r="AG670" i="45"/>
  <c r="AG667" i="45" s="1"/>
  <c r="K676" i="45"/>
  <c r="AE607" i="45"/>
  <c r="AG608" i="45"/>
  <c r="AG607" i="45" s="1"/>
  <c r="P591" i="45"/>
  <c r="N676" i="45"/>
  <c r="Z676" i="45"/>
  <c r="AG634" i="45"/>
  <c r="AE631" i="45"/>
  <c r="AE661" i="45"/>
  <c r="AE591" i="45"/>
  <c r="AG631" i="45" l="1"/>
  <c r="P676" i="45"/>
  <c r="AG643" i="45"/>
  <c r="AG676" i="45"/>
  <c r="AE676" i="45"/>
  <c r="P871" i="53"/>
  <c r="M871" i="53"/>
  <c r="P870" i="53"/>
  <c r="M870" i="53"/>
  <c r="P869" i="53"/>
  <c r="M869" i="53"/>
  <c r="P868" i="53"/>
  <c r="M868" i="53"/>
  <c r="P867" i="53"/>
  <c r="M867" i="53"/>
  <c r="P866" i="53"/>
  <c r="M866" i="53"/>
  <c r="P865" i="53"/>
  <c r="M865" i="53"/>
  <c r="P864" i="53"/>
  <c r="M864" i="53"/>
  <c r="P863" i="53"/>
  <c r="M863" i="53"/>
  <c r="P862" i="53"/>
  <c r="M862" i="53"/>
  <c r="P861" i="53"/>
  <c r="M861" i="53"/>
  <c r="P860" i="53"/>
  <c r="M860" i="53"/>
  <c r="P859" i="53"/>
  <c r="M859" i="53"/>
  <c r="P858" i="53"/>
  <c r="M858" i="53"/>
  <c r="P857" i="53"/>
  <c r="M857" i="53"/>
  <c r="P856" i="53"/>
  <c r="M856" i="53"/>
  <c r="P855" i="53"/>
  <c r="M855" i="53"/>
  <c r="P854" i="53"/>
  <c r="M854" i="53"/>
  <c r="P853" i="53"/>
  <c r="M853" i="53"/>
  <c r="P852" i="53"/>
  <c r="M852" i="53"/>
  <c r="P851" i="53"/>
  <c r="M851" i="53"/>
  <c r="P850" i="53"/>
  <c r="M850" i="53"/>
  <c r="P849" i="53"/>
  <c r="M849" i="53"/>
  <c r="P848" i="53"/>
  <c r="M848" i="53"/>
  <c r="P847" i="53"/>
  <c r="M847" i="53"/>
  <c r="P846" i="53"/>
  <c r="M846" i="53"/>
  <c r="P845" i="53"/>
  <c r="M845" i="53"/>
  <c r="P844" i="53"/>
  <c r="M844" i="53"/>
  <c r="P843" i="53"/>
  <c r="M843" i="53"/>
  <c r="P842" i="53"/>
  <c r="M842" i="53"/>
  <c r="P841" i="53"/>
  <c r="M841" i="53"/>
  <c r="P840" i="53"/>
  <c r="M840" i="53"/>
  <c r="P839" i="53"/>
  <c r="M839" i="53"/>
  <c r="P838" i="53"/>
  <c r="M838" i="53"/>
  <c r="P837" i="53"/>
  <c r="M837" i="53"/>
  <c r="P836" i="53"/>
  <c r="M836" i="53"/>
  <c r="P835" i="53"/>
  <c r="M835" i="53"/>
  <c r="P834" i="53"/>
  <c r="M834" i="53"/>
  <c r="P833" i="53"/>
  <c r="M833" i="53"/>
  <c r="P832" i="53"/>
  <c r="M832" i="53"/>
  <c r="P831" i="53"/>
  <c r="M831" i="53"/>
  <c r="P830" i="53"/>
  <c r="M830" i="53"/>
  <c r="P829" i="53"/>
  <c r="M829" i="53"/>
  <c r="P828" i="53"/>
  <c r="M828" i="53"/>
  <c r="P827" i="53"/>
  <c r="M827" i="53"/>
  <c r="P826" i="53"/>
  <c r="M826" i="53"/>
  <c r="P825" i="53"/>
  <c r="M825" i="53"/>
  <c r="P824" i="53"/>
  <c r="M824" i="53"/>
  <c r="P823" i="53"/>
  <c r="M823" i="53"/>
  <c r="P822" i="53"/>
  <c r="M822" i="53"/>
  <c r="P821" i="53"/>
  <c r="M821" i="53"/>
  <c r="P820" i="53"/>
  <c r="M820" i="53"/>
  <c r="P819" i="53"/>
  <c r="M819" i="53"/>
  <c r="P818" i="53"/>
  <c r="M818" i="53"/>
  <c r="P817" i="53"/>
  <c r="M817" i="53"/>
  <c r="P816" i="53"/>
  <c r="M816" i="53"/>
  <c r="P815" i="53"/>
  <c r="M815" i="53"/>
  <c r="P814" i="53"/>
  <c r="M814" i="53"/>
  <c r="P813" i="53"/>
  <c r="M813" i="53"/>
  <c r="P812" i="53"/>
  <c r="M812" i="53"/>
  <c r="P811" i="53"/>
  <c r="M811" i="53"/>
  <c r="P810" i="53"/>
  <c r="M810" i="53"/>
  <c r="P809" i="53"/>
  <c r="M809" i="53"/>
  <c r="P808" i="53"/>
  <c r="M808" i="53"/>
  <c r="P807" i="53"/>
  <c r="M807" i="53"/>
  <c r="P806" i="53"/>
  <c r="M806" i="53"/>
  <c r="P805" i="53"/>
  <c r="M805" i="53"/>
  <c r="P804" i="53"/>
  <c r="M804" i="53"/>
  <c r="P803" i="53"/>
  <c r="M803" i="53"/>
  <c r="P802" i="53"/>
  <c r="M802" i="53"/>
  <c r="P801" i="53"/>
  <c r="M801" i="53"/>
  <c r="P800" i="53"/>
  <c r="M800" i="53"/>
  <c r="P799" i="53"/>
  <c r="M799" i="53"/>
  <c r="P798" i="53"/>
  <c r="M798" i="53"/>
  <c r="P797" i="53"/>
  <c r="M797" i="53"/>
  <c r="P796" i="53"/>
  <c r="M796" i="53"/>
  <c r="P795" i="53"/>
  <c r="M795" i="53"/>
  <c r="P794" i="53"/>
  <c r="M794" i="53"/>
  <c r="P793" i="53"/>
  <c r="M793" i="53"/>
  <c r="P792" i="53"/>
  <c r="M792" i="53"/>
  <c r="P791" i="53"/>
  <c r="M791" i="53"/>
  <c r="P790" i="53"/>
  <c r="M790" i="53"/>
  <c r="P789" i="53"/>
  <c r="M789" i="53"/>
  <c r="P788" i="53"/>
  <c r="M788" i="53"/>
  <c r="P787" i="53"/>
  <c r="M787" i="53"/>
  <c r="P786" i="53"/>
  <c r="M786" i="53"/>
  <c r="P785" i="53"/>
  <c r="M785" i="53"/>
  <c r="P784" i="53"/>
  <c r="M784" i="53"/>
  <c r="P783" i="53"/>
  <c r="M783" i="53"/>
  <c r="P782" i="53"/>
  <c r="M782" i="53"/>
  <c r="P781" i="53"/>
  <c r="M781" i="53"/>
  <c r="P780" i="53"/>
  <c r="M780" i="53"/>
  <c r="P779" i="53"/>
  <c r="M779" i="53"/>
  <c r="P778" i="53"/>
  <c r="M778" i="53"/>
  <c r="P777" i="53"/>
  <c r="M777" i="53"/>
  <c r="P776" i="53"/>
  <c r="M776" i="53"/>
  <c r="P775" i="53"/>
  <c r="M775" i="53"/>
  <c r="P774" i="53"/>
  <c r="M774" i="53"/>
  <c r="P773" i="53"/>
  <c r="M773" i="53"/>
  <c r="P772" i="53"/>
  <c r="M772" i="53"/>
  <c r="P771" i="53"/>
  <c r="M771" i="53"/>
  <c r="P770" i="53"/>
  <c r="M770" i="53"/>
  <c r="P769" i="53"/>
  <c r="M769" i="53"/>
  <c r="P768" i="53"/>
  <c r="M768" i="53"/>
  <c r="P767" i="53"/>
  <c r="M767" i="53"/>
  <c r="P766" i="53"/>
  <c r="M766" i="53"/>
  <c r="P765" i="53"/>
  <c r="M765" i="53"/>
  <c r="P764" i="53"/>
  <c r="M764" i="53"/>
  <c r="P763" i="53"/>
  <c r="M763" i="53"/>
  <c r="P762" i="53"/>
  <c r="M762" i="53"/>
  <c r="P761" i="53"/>
  <c r="M761" i="53"/>
  <c r="P760" i="53"/>
  <c r="M760" i="53"/>
  <c r="P759" i="53"/>
  <c r="M759" i="53"/>
  <c r="P758" i="53"/>
  <c r="M758" i="53"/>
  <c r="P757" i="53"/>
  <c r="M757" i="53"/>
  <c r="P756" i="53"/>
  <c r="M756" i="53"/>
  <c r="P755" i="53"/>
  <c r="M755" i="53"/>
  <c r="P754" i="53"/>
  <c r="M754" i="53"/>
  <c r="P753" i="53"/>
  <c r="M753" i="53"/>
  <c r="P752" i="53"/>
  <c r="M752" i="53"/>
  <c r="P751" i="53"/>
  <c r="M751" i="53"/>
  <c r="P750" i="53"/>
  <c r="M750" i="53"/>
  <c r="P749" i="53"/>
  <c r="M749" i="53"/>
  <c r="P748" i="53"/>
  <c r="M748" i="53"/>
  <c r="P747" i="53"/>
  <c r="M747" i="53"/>
  <c r="P746" i="53"/>
  <c r="M746" i="53"/>
  <c r="P745" i="53"/>
  <c r="M745" i="53"/>
  <c r="P744" i="53"/>
  <c r="M744" i="53"/>
  <c r="P743" i="53"/>
  <c r="M743" i="53"/>
  <c r="P742" i="53"/>
  <c r="M742" i="53"/>
  <c r="P741" i="53"/>
  <c r="M741" i="53"/>
  <c r="P740" i="53"/>
  <c r="M740" i="53"/>
  <c r="P739" i="53"/>
  <c r="M739" i="53"/>
  <c r="P738" i="53"/>
  <c r="M738" i="53"/>
  <c r="P737" i="53"/>
  <c r="M737" i="53"/>
  <c r="P736" i="53"/>
  <c r="M736" i="53"/>
  <c r="P735" i="53"/>
  <c r="M735" i="53"/>
  <c r="P734" i="53"/>
  <c r="M734" i="53"/>
  <c r="P733" i="53"/>
  <c r="M733" i="53"/>
  <c r="P732" i="53"/>
  <c r="M732" i="53"/>
  <c r="P731" i="53"/>
  <c r="M731" i="53"/>
  <c r="P730" i="53"/>
  <c r="M730" i="53"/>
  <c r="P729" i="53"/>
  <c r="M729" i="53"/>
  <c r="P728" i="53"/>
  <c r="M728" i="53"/>
  <c r="P727" i="53"/>
  <c r="M727" i="53"/>
  <c r="P726" i="53"/>
  <c r="M726" i="53"/>
  <c r="P725" i="53"/>
  <c r="M725" i="53"/>
  <c r="P724" i="53"/>
  <c r="M724" i="53"/>
  <c r="P723" i="53"/>
  <c r="M723" i="53"/>
  <c r="P722" i="53"/>
  <c r="M722" i="53"/>
  <c r="P721" i="53"/>
  <c r="M721" i="53"/>
  <c r="P720" i="53"/>
  <c r="M720" i="53"/>
  <c r="P719" i="53"/>
  <c r="M719" i="53"/>
  <c r="P718" i="53"/>
  <c r="M718" i="53"/>
  <c r="P717" i="53"/>
  <c r="M717" i="53"/>
  <c r="P716" i="53"/>
  <c r="M716" i="53"/>
  <c r="P715" i="53"/>
  <c r="M715" i="53"/>
  <c r="P714" i="53"/>
  <c r="M714" i="53"/>
  <c r="P713" i="53"/>
  <c r="M713" i="53"/>
  <c r="P712" i="53"/>
  <c r="M712" i="53"/>
  <c r="P711" i="53"/>
  <c r="M711" i="53"/>
  <c r="P710" i="53"/>
  <c r="M710" i="53"/>
  <c r="P709" i="53"/>
  <c r="M709" i="53"/>
  <c r="P708" i="53"/>
  <c r="M708" i="53"/>
  <c r="P707" i="53"/>
  <c r="M707" i="53"/>
  <c r="P706" i="53"/>
  <c r="M706" i="53"/>
  <c r="P705" i="53"/>
  <c r="M705" i="53"/>
  <c r="P704" i="53"/>
  <c r="M704" i="53"/>
  <c r="P703" i="53"/>
  <c r="M703" i="53"/>
  <c r="P702" i="53"/>
  <c r="M702" i="53"/>
  <c r="P701" i="53"/>
  <c r="M701" i="53"/>
  <c r="P700" i="53"/>
  <c r="M700" i="53"/>
  <c r="P699" i="53"/>
  <c r="M699" i="53"/>
  <c r="P698" i="53"/>
  <c r="M698" i="53"/>
  <c r="P697" i="53"/>
  <c r="M697" i="53"/>
  <c r="P696" i="53"/>
  <c r="M696" i="53"/>
  <c r="P695" i="53"/>
  <c r="M695" i="53"/>
  <c r="P694" i="53"/>
  <c r="M694" i="53"/>
  <c r="P693" i="53"/>
  <c r="M693" i="53"/>
  <c r="P692" i="53"/>
  <c r="M692" i="53"/>
  <c r="P691" i="53"/>
  <c r="M691" i="53"/>
  <c r="P690" i="53"/>
  <c r="M690" i="53"/>
  <c r="P689" i="53"/>
  <c r="M689" i="53"/>
  <c r="P688" i="53"/>
  <c r="M688" i="53"/>
  <c r="P687" i="53"/>
  <c r="M687" i="53"/>
  <c r="P686" i="53"/>
  <c r="M686" i="53"/>
  <c r="P685" i="53"/>
  <c r="M685" i="53"/>
  <c r="P684" i="53"/>
  <c r="M684" i="53"/>
  <c r="P683" i="53"/>
  <c r="M683" i="53"/>
  <c r="P682" i="53"/>
  <c r="M682" i="53"/>
  <c r="P681" i="53"/>
  <c r="M681" i="53"/>
  <c r="P680" i="53"/>
  <c r="M680" i="53"/>
  <c r="P679" i="53"/>
  <c r="M679" i="53"/>
  <c r="P678" i="53"/>
  <c r="M678" i="53"/>
  <c r="P677" i="53"/>
  <c r="M677" i="53"/>
  <c r="P676" i="53"/>
  <c r="M676" i="53"/>
  <c r="P675" i="53"/>
  <c r="M675" i="53"/>
  <c r="P674" i="53"/>
  <c r="M674" i="53"/>
  <c r="P673" i="53"/>
  <c r="M673" i="53"/>
  <c r="P672" i="53"/>
  <c r="M672" i="53"/>
  <c r="P671" i="53"/>
  <c r="M671" i="53"/>
  <c r="P670" i="53"/>
  <c r="M670" i="53"/>
  <c r="P669" i="53"/>
  <c r="M669" i="53"/>
  <c r="P668" i="53"/>
  <c r="M668" i="53"/>
  <c r="P667" i="53"/>
  <c r="M667" i="53"/>
  <c r="P666" i="53"/>
  <c r="M666" i="53"/>
  <c r="P665" i="53"/>
  <c r="M665" i="53"/>
  <c r="P664" i="53"/>
  <c r="M664" i="53"/>
  <c r="P663" i="53"/>
  <c r="M663" i="53"/>
  <c r="P662" i="53"/>
  <c r="M662" i="53"/>
  <c r="P661" i="53"/>
  <c r="M661" i="53"/>
  <c r="P660" i="53"/>
  <c r="M660" i="53"/>
  <c r="P659" i="53"/>
  <c r="M659" i="53"/>
  <c r="P658" i="53"/>
  <c r="M658" i="53"/>
  <c r="P657" i="53"/>
  <c r="M657" i="53"/>
  <c r="P656" i="53"/>
  <c r="M656" i="53"/>
  <c r="P655" i="53"/>
  <c r="M655" i="53"/>
  <c r="P654" i="53"/>
  <c r="M654" i="53"/>
  <c r="P653" i="53"/>
  <c r="M653" i="53"/>
  <c r="P652" i="53"/>
  <c r="M652" i="53"/>
  <c r="P651" i="53"/>
  <c r="M651" i="53"/>
  <c r="P650" i="53"/>
  <c r="M650" i="53"/>
  <c r="P649" i="53"/>
  <c r="M649" i="53"/>
  <c r="P648" i="53"/>
  <c r="M648" i="53"/>
  <c r="P647" i="53"/>
  <c r="M647" i="53"/>
  <c r="P646" i="53"/>
  <c r="M646" i="53"/>
  <c r="P645" i="53"/>
  <c r="M645" i="53"/>
  <c r="P644" i="53"/>
  <c r="M644" i="53"/>
  <c r="P643" i="53"/>
  <c r="M643" i="53"/>
  <c r="P642" i="53"/>
  <c r="M642" i="53"/>
  <c r="P641" i="53"/>
  <c r="M641" i="53"/>
  <c r="P640" i="53"/>
  <c r="M640" i="53"/>
  <c r="P639" i="53"/>
  <c r="M639" i="53"/>
  <c r="P638" i="53"/>
  <c r="M638" i="53"/>
  <c r="P637" i="53"/>
  <c r="M637" i="53"/>
  <c r="P636" i="53"/>
  <c r="M636" i="53"/>
  <c r="P635" i="53"/>
  <c r="M635" i="53"/>
  <c r="P634" i="53"/>
  <c r="M634" i="53"/>
  <c r="P633" i="53"/>
  <c r="M633" i="53"/>
  <c r="P632" i="53"/>
  <c r="M632" i="53"/>
  <c r="P631" i="53"/>
  <c r="M631" i="53"/>
  <c r="P630" i="53"/>
  <c r="M630" i="53"/>
  <c r="P629" i="53"/>
  <c r="M629" i="53"/>
  <c r="P628" i="53"/>
  <c r="M628" i="53"/>
  <c r="P627" i="53"/>
  <c r="M627" i="53"/>
  <c r="P626" i="53"/>
  <c r="M626" i="53"/>
  <c r="P625" i="53"/>
  <c r="M625" i="53"/>
  <c r="P624" i="53"/>
  <c r="M624" i="53"/>
  <c r="P623" i="53"/>
  <c r="M623" i="53"/>
  <c r="P622" i="53"/>
  <c r="M622" i="53"/>
  <c r="P621" i="53"/>
  <c r="M621" i="53"/>
  <c r="P620" i="53"/>
  <c r="M620" i="53"/>
  <c r="P619" i="53"/>
  <c r="M619" i="53"/>
  <c r="P618" i="53"/>
  <c r="M618" i="53"/>
  <c r="P617" i="53"/>
  <c r="M617" i="53"/>
  <c r="P616" i="53"/>
  <c r="M616" i="53"/>
  <c r="P615" i="53"/>
  <c r="M615" i="53"/>
  <c r="P614" i="53"/>
  <c r="M614" i="53"/>
  <c r="P613" i="53"/>
  <c r="M613" i="53"/>
  <c r="P612" i="53"/>
  <c r="M612" i="53"/>
  <c r="P611" i="53"/>
  <c r="M611" i="53"/>
  <c r="P610" i="53"/>
  <c r="M610" i="53"/>
  <c r="P609" i="53"/>
  <c r="M609" i="53"/>
  <c r="P608" i="53"/>
  <c r="M608" i="53"/>
  <c r="P607" i="53"/>
  <c r="M607" i="53"/>
  <c r="P606" i="53"/>
  <c r="M606" i="53"/>
  <c r="P605" i="53"/>
  <c r="M605" i="53"/>
  <c r="P604" i="53"/>
  <c r="M604" i="53"/>
  <c r="P603" i="53"/>
  <c r="M603" i="53"/>
  <c r="P602" i="53"/>
  <c r="M602" i="53"/>
  <c r="P601" i="53"/>
  <c r="M601" i="53"/>
  <c r="P600" i="53"/>
  <c r="M600" i="53"/>
  <c r="P599" i="53"/>
  <c r="M599" i="53"/>
  <c r="P598" i="53"/>
  <c r="M598" i="53"/>
  <c r="P597" i="53"/>
  <c r="M597" i="53"/>
  <c r="P596" i="53"/>
  <c r="M596" i="53"/>
  <c r="P595" i="53"/>
  <c r="M595" i="53"/>
  <c r="P594" i="53"/>
  <c r="M594" i="53"/>
  <c r="P593" i="53"/>
  <c r="M593" i="53"/>
  <c r="P592" i="53"/>
  <c r="M592" i="53"/>
  <c r="P591" i="53"/>
  <c r="M591" i="53"/>
  <c r="P590" i="53"/>
  <c r="M590" i="53"/>
  <c r="P589" i="53"/>
  <c r="M589" i="53"/>
  <c r="P588" i="53"/>
  <c r="M588" i="53"/>
  <c r="P587" i="53"/>
  <c r="M587" i="53"/>
  <c r="P586" i="53"/>
  <c r="M586" i="53"/>
  <c r="P585" i="53"/>
  <c r="M585" i="53"/>
  <c r="P584" i="53"/>
  <c r="M584" i="53"/>
  <c r="P583" i="53"/>
  <c r="M583" i="53"/>
  <c r="P582" i="53"/>
  <c r="M582" i="53"/>
  <c r="P581" i="53"/>
  <c r="M581" i="53"/>
  <c r="P580" i="53"/>
  <c r="M580" i="53"/>
  <c r="P579" i="53"/>
  <c r="M579" i="53"/>
  <c r="P578" i="53"/>
  <c r="M578" i="53"/>
  <c r="P577" i="53"/>
  <c r="M577" i="53"/>
  <c r="P576" i="53"/>
  <c r="M576" i="53"/>
  <c r="P575" i="53"/>
  <c r="M575" i="53"/>
  <c r="P574" i="53"/>
  <c r="M574" i="53"/>
  <c r="P573" i="53"/>
  <c r="M573" i="53"/>
  <c r="P572" i="53"/>
  <c r="M572" i="53"/>
  <c r="P571" i="53"/>
  <c r="M571" i="53"/>
  <c r="P570" i="53"/>
  <c r="M570" i="53"/>
  <c r="P569" i="53"/>
  <c r="M569" i="53"/>
  <c r="P568" i="53"/>
  <c r="M568" i="53"/>
  <c r="P567" i="53"/>
  <c r="M567" i="53"/>
  <c r="P566" i="53"/>
  <c r="M566" i="53"/>
  <c r="P565" i="53"/>
  <c r="M565" i="53"/>
  <c r="P564" i="53"/>
  <c r="M564" i="53"/>
  <c r="P563" i="53"/>
  <c r="M563" i="53"/>
  <c r="P562" i="53"/>
  <c r="M562" i="53"/>
  <c r="P561" i="53"/>
  <c r="M561" i="53"/>
  <c r="P560" i="53"/>
  <c r="M560" i="53"/>
  <c r="P559" i="53"/>
  <c r="M559" i="53"/>
  <c r="P558" i="53"/>
  <c r="M558" i="53"/>
  <c r="P557" i="53"/>
  <c r="M557" i="53"/>
  <c r="P556" i="53"/>
  <c r="M556" i="53"/>
  <c r="P555" i="53"/>
  <c r="M555" i="53"/>
  <c r="P554" i="53"/>
  <c r="M554" i="53"/>
  <c r="P553" i="53"/>
  <c r="M553" i="53"/>
  <c r="P552" i="53"/>
  <c r="M552" i="53"/>
  <c r="P551" i="53"/>
  <c r="M551" i="53"/>
  <c r="P550" i="53"/>
  <c r="M550" i="53"/>
  <c r="P549" i="53"/>
  <c r="M549" i="53"/>
  <c r="P548" i="53"/>
  <c r="M548" i="53"/>
  <c r="P547" i="53"/>
  <c r="M547" i="53"/>
  <c r="P546" i="53"/>
  <c r="M546" i="53"/>
  <c r="P545" i="53"/>
  <c r="M545" i="53"/>
  <c r="P544" i="53"/>
  <c r="M544" i="53"/>
  <c r="P543" i="53"/>
  <c r="M543" i="53"/>
  <c r="P542" i="53"/>
  <c r="M542" i="53"/>
  <c r="P541" i="53"/>
  <c r="M541" i="53"/>
  <c r="P540" i="53"/>
  <c r="M540" i="53"/>
  <c r="P539" i="53"/>
  <c r="M539" i="53"/>
  <c r="P538" i="53"/>
  <c r="M538" i="53"/>
  <c r="P537" i="53"/>
  <c r="M537" i="53"/>
  <c r="P536" i="53"/>
  <c r="M536" i="53"/>
  <c r="P535" i="53"/>
  <c r="M535" i="53"/>
  <c r="P534" i="53"/>
  <c r="M534" i="53"/>
  <c r="P533" i="53"/>
  <c r="M533" i="53"/>
  <c r="P532" i="53"/>
  <c r="M532" i="53"/>
  <c r="P531" i="53"/>
  <c r="M531" i="53"/>
  <c r="P530" i="53"/>
  <c r="M530" i="53"/>
  <c r="P529" i="53"/>
  <c r="M529" i="53"/>
  <c r="P528" i="53"/>
  <c r="M528" i="53"/>
  <c r="P527" i="53"/>
  <c r="M527" i="53"/>
  <c r="P526" i="53"/>
  <c r="M526" i="53"/>
  <c r="P525" i="53"/>
  <c r="M525" i="53"/>
  <c r="P524" i="53"/>
  <c r="M524" i="53"/>
  <c r="P523" i="53"/>
  <c r="M523" i="53"/>
  <c r="P522" i="53"/>
  <c r="M522" i="53"/>
  <c r="P521" i="53"/>
  <c r="M521" i="53"/>
  <c r="P520" i="53"/>
  <c r="M520" i="53"/>
  <c r="P519" i="53"/>
  <c r="M519" i="53"/>
  <c r="P518" i="53"/>
  <c r="M518" i="53"/>
  <c r="P517" i="53"/>
  <c r="M517" i="53"/>
  <c r="P516" i="53"/>
  <c r="M516" i="53"/>
  <c r="P515" i="53"/>
  <c r="M515" i="53"/>
  <c r="P514" i="53"/>
  <c r="M514" i="53"/>
  <c r="C122" i="79"/>
  <c r="C127" i="79" s="1"/>
  <c r="C129" i="79" s="1"/>
  <c r="C133" i="79" s="1"/>
  <c r="AG560" i="45"/>
  <c r="AA560" i="45"/>
  <c r="AC560" i="45" s="1"/>
  <c r="R560" i="45"/>
  <c r="Z560" i="45" s="1"/>
  <c r="L560" i="45"/>
  <c r="N560" i="45" s="1"/>
  <c r="C560" i="45"/>
  <c r="K560" i="45" s="1"/>
  <c r="P560" i="45" s="1"/>
  <c r="AG559" i="45"/>
  <c r="AA559" i="45"/>
  <c r="AC559" i="45" s="1"/>
  <c r="Z559" i="45"/>
  <c r="L559" i="45"/>
  <c r="N559" i="45" s="1"/>
  <c r="K559" i="45"/>
  <c r="P559" i="45" s="1"/>
  <c r="AG558" i="45"/>
  <c r="AA558" i="45"/>
  <c r="AC558" i="45" s="1"/>
  <c r="Z558" i="45"/>
  <c r="AE558" i="45" s="1"/>
  <c r="L558" i="45"/>
  <c r="N558" i="45" s="1"/>
  <c r="K558" i="45"/>
  <c r="AG557" i="45"/>
  <c r="AA557" i="45"/>
  <c r="AC557" i="45" s="1"/>
  <c r="AE557" i="45" s="1"/>
  <c r="Z557" i="45"/>
  <c r="L557" i="45"/>
  <c r="N557" i="45" s="1"/>
  <c r="K557" i="45"/>
  <c r="AG556" i="45"/>
  <c r="AA556" i="45"/>
  <c r="Z556" i="45"/>
  <c r="L556" i="45"/>
  <c r="N556" i="45" s="1"/>
  <c r="K556" i="45"/>
  <c r="AI555" i="45"/>
  <c r="AH555" i="45"/>
  <c r="AD555" i="45"/>
  <c r="AB555" i="45"/>
  <c r="Y555" i="45"/>
  <c r="X555" i="45"/>
  <c r="W555" i="45"/>
  <c r="V555" i="45"/>
  <c r="U555" i="45"/>
  <c r="T555" i="45"/>
  <c r="S555" i="45"/>
  <c r="R555" i="45"/>
  <c r="Q555" i="45"/>
  <c r="O555" i="45"/>
  <c r="M555" i="45"/>
  <c r="J555" i="45"/>
  <c r="I555" i="45"/>
  <c r="H555" i="45"/>
  <c r="G555" i="45"/>
  <c r="F555" i="45"/>
  <c r="E555" i="45"/>
  <c r="E561" i="45" s="1"/>
  <c r="D555" i="45"/>
  <c r="B555" i="45"/>
  <c r="AG553" i="45"/>
  <c r="AC553" i="45"/>
  <c r="AA553" i="45"/>
  <c r="R553" i="45"/>
  <c r="Z553" i="45" s="1"/>
  <c r="L553" i="45"/>
  <c r="N553" i="45" s="1"/>
  <c r="C553" i="45"/>
  <c r="K553" i="45" s="1"/>
  <c r="AG552" i="45"/>
  <c r="AA552" i="45"/>
  <c r="AC552" i="45" s="1"/>
  <c r="Z552" i="45"/>
  <c r="AE552" i="45" s="1"/>
  <c r="L552" i="45"/>
  <c r="N552" i="45" s="1"/>
  <c r="P552" i="45" s="1"/>
  <c r="AF552" i="45" s="1"/>
  <c r="K552" i="45"/>
  <c r="AG551" i="45"/>
  <c r="AA551" i="45"/>
  <c r="AC551" i="45" s="1"/>
  <c r="AE551" i="45" s="1"/>
  <c r="Z551" i="45"/>
  <c r="L551" i="45"/>
  <c r="N551" i="45" s="1"/>
  <c r="K551" i="45"/>
  <c r="AG550" i="45"/>
  <c r="AA550" i="45"/>
  <c r="AC550" i="45" s="1"/>
  <c r="Z550" i="45"/>
  <c r="L550" i="45"/>
  <c r="N550" i="45" s="1"/>
  <c r="K550" i="45"/>
  <c r="AG549" i="45"/>
  <c r="AA549" i="45"/>
  <c r="AC549" i="45" s="1"/>
  <c r="Z549" i="45"/>
  <c r="L549" i="45"/>
  <c r="L547" i="45" s="1"/>
  <c r="K549" i="45"/>
  <c r="AG548" i="45"/>
  <c r="AA548" i="45"/>
  <c r="Z548" i="45"/>
  <c r="L548" i="45"/>
  <c r="N548" i="45" s="1"/>
  <c r="K548" i="45"/>
  <c r="AI547" i="45"/>
  <c r="AH547" i="45"/>
  <c r="AD547" i="45"/>
  <c r="AB547" i="45"/>
  <c r="Y547" i="45"/>
  <c r="X547" i="45"/>
  <c r="W547" i="45"/>
  <c r="V547" i="45"/>
  <c r="U547" i="45"/>
  <c r="T547" i="45"/>
  <c r="S547" i="45"/>
  <c r="R547" i="45"/>
  <c r="Q547" i="45"/>
  <c r="O547" i="45"/>
  <c r="M547" i="45"/>
  <c r="J547" i="45"/>
  <c r="I547" i="45"/>
  <c r="H547" i="45"/>
  <c r="G547" i="45"/>
  <c r="F547" i="45"/>
  <c r="E547" i="45"/>
  <c r="D547" i="45"/>
  <c r="B547" i="45"/>
  <c r="AG545" i="45"/>
  <c r="AA545" i="45"/>
  <c r="AC545" i="45" s="1"/>
  <c r="Z545" i="45"/>
  <c r="L545" i="45"/>
  <c r="N545" i="45" s="1"/>
  <c r="P545" i="45" s="1"/>
  <c r="K545" i="45"/>
  <c r="AG544" i="45"/>
  <c r="AA544" i="45"/>
  <c r="AC544" i="45" s="1"/>
  <c r="Z544" i="45"/>
  <c r="L544" i="45"/>
  <c r="N544" i="45" s="1"/>
  <c r="K544" i="45"/>
  <c r="AG543" i="45"/>
  <c r="AA543" i="45"/>
  <c r="AC543" i="45" s="1"/>
  <c r="Z543" i="45"/>
  <c r="L543" i="45"/>
  <c r="N543" i="45" s="1"/>
  <c r="K543" i="45"/>
  <c r="AG542" i="45"/>
  <c r="AC542" i="45"/>
  <c r="AA542" i="45"/>
  <c r="Z542" i="45"/>
  <c r="L542" i="45"/>
  <c r="N542" i="45" s="1"/>
  <c r="P542" i="45" s="1"/>
  <c r="K542" i="45"/>
  <c r="AG541" i="45"/>
  <c r="AA541" i="45"/>
  <c r="AC541" i="45" s="1"/>
  <c r="Z541" i="45"/>
  <c r="L541" i="45"/>
  <c r="N541" i="45" s="1"/>
  <c r="K541" i="45"/>
  <c r="AG540" i="45"/>
  <c r="AA540" i="45"/>
  <c r="AC540" i="45" s="1"/>
  <c r="Z540" i="45"/>
  <c r="L540" i="45"/>
  <c r="N540" i="45" s="1"/>
  <c r="K540" i="45"/>
  <c r="P540" i="45" s="1"/>
  <c r="AG539" i="45"/>
  <c r="AA539" i="45"/>
  <c r="AC539" i="45" s="1"/>
  <c r="AE539" i="45" s="1"/>
  <c r="Z539" i="45"/>
  <c r="L539" i="45"/>
  <c r="N539" i="45" s="1"/>
  <c r="K539" i="45"/>
  <c r="AG538" i="45"/>
  <c r="AA538" i="45"/>
  <c r="AC538" i="45" s="1"/>
  <c r="R538" i="45"/>
  <c r="Z538" i="45" s="1"/>
  <c r="L538" i="45"/>
  <c r="N538" i="45" s="1"/>
  <c r="C538" i="45"/>
  <c r="K538" i="45" s="1"/>
  <c r="P538" i="45" s="1"/>
  <c r="AG537" i="45"/>
  <c r="AA537" i="45"/>
  <c r="AC537" i="45" s="1"/>
  <c r="AE537" i="45" s="1"/>
  <c r="Z537" i="45"/>
  <c r="L537" i="45"/>
  <c r="N537" i="45" s="1"/>
  <c r="K537" i="45"/>
  <c r="AG536" i="45"/>
  <c r="AA536" i="45"/>
  <c r="AC536" i="45" s="1"/>
  <c r="Z536" i="45"/>
  <c r="AE536" i="45" s="1"/>
  <c r="L536" i="45"/>
  <c r="N536" i="45" s="1"/>
  <c r="K536" i="45"/>
  <c r="AG535" i="45"/>
  <c r="AA535" i="45"/>
  <c r="AC535" i="45" s="1"/>
  <c r="Z535" i="45"/>
  <c r="L535" i="45"/>
  <c r="N535" i="45" s="1"/>
  <c r="P535" i="45" s="1"/>
  <c r="K535" i="45"/>
  <c r="AG534" i="45"/>
  <c r="AC534" i="45"/>
  <c r="AE534" i="45" s="1"/>
  <c r="AA534" i="45"/>
  <c r="Z534" i="45"/>
  <c r="L534" i="45"/>
  <c r="N534" i="45" s="1"/>
  <c r="K534" i="45"/>
  <c r="P534" i="45" s="1"/>
  <c r="AG533" i="45"/>
  <c r="AA533" i="45"/>
  <c r="AC533" i="45" s="1"/>
  <c r="Z533" i="45"/>
  <c r="L533" i="45"/>
  <c r="N533" i="45" s="1"/>
  <c r="K533" i="45"/>
  <c r="AG532" i="45"/>
  <c r="AA532" i="45"/>
  <c r="AC532" i="45" s="1"/>
  <c r="R532" i="45"/>
  <c r="Z532" i="45" s="1"/>
  <c r="AE532" i="45" s="1"/>
  <c r="L532" i="45"/>
  <c r="N532" i="45" s="1"/>
  <c r="C532" i="45"/>
  <c r="K532" i="45" s="1"/>
  <c r="AG531" i="45"/>
  <c r="AA531" i="45"/>
  <c r="AC531" i="45" s="1"/>
  <c r="Z531" i="45"/>
  <c r="L531" i="45"/>
  <c r="N531" i="45" s="1"/>
  <c r="K531" i="45"/>
  <c r="AG530" i="45"/>
  <c r="AA530" i="45"/>
  <c r="AC530" i="45" s="1"/>
  <c r="AE530" i="45" s="1"/>
  <c r="Z530" i="45"/>
  <c r="L530" i="45"/>
  <c r="N530" i="45" s="1"/>
  <c r="K530" i="45"/>
  <c r="P530" i="45" s="1"/>
  <c r="AG529" i="45"/>
  <c r="AA529" i="45"/>
  <c r="AC529" i="45" s="1"/>
  <c r="Z529" i="45"/>
  <c r="AE529" i="45" s="1"/>
  <c r="L529" i="45"/>
  <c r="N529" i="45" s="1"/>
  <c r="K529" i="45"/>
  <c r="P529" i="45" s="1"/>
  <c r="AG528" i="45"/>
  <c r="AF528" i="45"/>
  <c r="AA528" i="45"/>
  <c r="AC528" i="45" s="1"/>
  <c r="R528" i="45"/>
  <c r="Z528" i="45" s="1"/>
  <c r="L528" i="45"/>
  <c r="N528" i="45" s="1"/>
  <c r="C528" i="45"/>
  <c r="K528" i="45" s="1"/>
  <c r="AG527" i="45"/>
  <c r="AG526" i="45" s="1"/>
  <c r="AI526" i="45"/>
  <c r="AH526" i="45"/>
  <c r="AD526" i="45"/>
  <c r="AB526" i="45"/>
  <c r="Y526" i="45"/>
  <c r="X526" i="45"/>
  <c r="W526" i="45"/>
  <c r="V526" i="45"/>
  <c r="U526" i="45"/>
  <c r="T526" i="45"/>
  <c r="S526" i="45"/>
  <c r="Q526" i="45"/>
  <c r="O526" i="45"/>
  <c r="M526" i="45"/>
  <c r="J526" i="45"/>
  <c r="I526" i="45"/>
  <c r="H526" i="45"/>
  <c r="G526" i="45"/>
  <c r="F526" i="45"/>
  <c r="E526" i="45"/>
  <c r="D526" i="45"/>
  <c r="B526" i="45"/>
  <c r="AG525" i="45"/>
  <c r="AG523" i="45" s="1"/>
  <c r="AI524" i="45"/>
  <c r="AI523" i="45" s="1"/>
  <c r="AG524" i="45"/>
  <c r="AA524" i="45"/>
  <c r="AC524" i="45" s="1"/>
  <c r="AC523" i="45" s="1"/>
  <c r="Z524" i="45"/>
  <c r="AE524" i="45" s="1"/>
  <c r="AE523" i="45" s="1"/>
  <c r="L524" i="45"/>
  <c r="L523" i="45" s="1"/>
  <c r="K524" i="45"/>
  <c r="K523" i="45" s="1"/>
  <c r="AH523" i="45"/>
  <c r="AD523" i="45"/>
  <c r="AB523" i="45"/>
  <c r="AA523" i="45"/>
  <c r="Y523" i="45"/>
  <c r="X523" i="45"/>
  <c r="W523" i="45"/>
  <c r="V523" i="45"/>
  <c r="U523" i="45"/>
  <c r="T523" i="45"/>
  <c r="S523" i="45"/>
  <c r="R523" i="45"/>
  <c r="Q523" i="45"/>
  <c r="O523" i="45"/>
  <c r="M523" i="45"/>
  <c r="J523" i="45"/>
  <c r="I523" i="45"/>
  <c r="H523" i="45"/>
  <c r="G523" i="45"/>
  <c r="F523" i="45"/>
  <c r="E523" i="45"/>
  <c r="D523" i="45"/>
  <c r="C523" i="45"/>
  <c r="B523" i="45"/>
  <c r="G169" i="32"/>
  <c r="E169" i="32"/>
  <c r="C169" i="32"/>
  <c r="I168" i="32"/>
  <c r="I166" i="32"/>
  <c r="I165" i="32"/>
  <c r="I162" i="32"/>
  <c r="I158" i="32"/>
  <c r="B158" i="32"/>
  <c r="I153" i="32"/>
  <c r="I169" i="32" s="1"/>
  <c r="O338" i="60"/>
  <c r="W337" i="60"/>
  <c r="L337" i="60"/>
  <c r="V336" i="60"/>
  <c r="K336" i="60"/>
  <c r="V335" i="60"/>
  <c r="K335" i="60"/>
  <c r="V334" i="60"/>
  <c r="K334" i="60"/>
  <c r="V333" i="60"/>
  <c r="K333" i="60"/>
  <c r="V332" i="60"/>
  <c r="K332" i="60"/>
  <c r="W331" i="60"/>
  <c r="U331" i="60"/>
  <c r="T331" i="60"/>
  <c r="S331" i="60"/>
  <c r="R331" i="60"/>
  <c r="Q331" i="60"/>
  <c r="P331" i="60"/>
  <c r="O331" i="60"/>
  <c r="N331" i="60"/>
  <c r="M331" i="60"/>
  <c r="L331" i="60"/>
  <c r="J331" i="60"/>
  <c r="I331" i="60"/>
  <c r="H331" i="60"/>
  <c r="G331" i="60"/>
  <c r="F331" i="60"/>
  <c r="E331" i="60"/>
  <c r="D331" i="60"/>
  <c r="C331" i="60"/>
  <c r="B331" i="60"/>
  <c r="B338" i="60" s="1"/>
  <c r="V330" i="60"/>
  <c r="K330" i="60"/>
  <c r="V329" i="60"/>
  <c r="K329" i="60"/>
  <c r="V328" i="60"/>
  <c r="K328" i="60"/>
  <c r="V327" i="60"/>
  <c r="K327" i="60"/>
  <c r="K324" i="60" s="1"/>
  <c r="V326" i="60"/>
  <c r="K326" i="60"/>
  <c r="V325" i="60"/>
  <c r="V324" i="60" s="1"/>
  <c r="K325" i="60"/>
  <c r="W324" i="60"/>
  <c r="U324" i="60"/>
  <c r="T324" i="60"/>
  <c r="S324" i="60"/>
  <c r="R324" i="60"/>
  <c r="Q324" i="60"/>
  <c r="P324" i="60"/>
  <c r="O324" i="60"/>
  <c r="N324" i="60"/>
  <c r="M324" i="60"/>
  <c r="L324" i="60"/>
  <c r="J324" i="60"/>
  <c r="I324" i="60"/>
  <c r="H324" i="60"/>
  <c r="G324" i="60"/>
  <c r="F324" i="60"/>
  <c r="E324" i="60"/>
  <c r="D324" i="60"/>
  <c r="C324" i="60"/>
  <c r="C338" i="60" s="1"/>
  <c r="B324" i="60"/>
  <c r="V323" i="60"/>
  <c r="K323" i="60"/>
  <c r="V322" i="60"/>
  <c r="K322" i="60"/>
  <c r="V321" i="60"/>
  <c r="K321" i="60"/>
  <c r="V320" i="60"/>
  <c r="K320" i="60"/>
  <c r="V319" i="60"/>
  <c r="K319" i="60"/>
  <c r="V318" i="60"/>
  <c r="K318" i="60"/>
  <c r="V316" i="60"/>
  <c r="K316" i="60"/>
  <c r="V314" i="60"/>
  <c r="K314" i="60"/>
  <c r="V313" i="60"/>
  <c r="K313" i="60"/>
  <c r="V312" i="60"/>
  <c r="K312" i="60"/>
  <c r="V311" i="60"/>
  <c r="K311" i="60"/>
  <c r="V310" i="60"/>
  <c r="K310" i="60"/>
  <c r="V309" i="60"/>
  <c r="K309" i="60"/>
  <c r="V308" i="60"/>
  <c r="K308" i="60"/>
  <c r="V307" i="60"/>
  <c r="K307" i="60"/>
  <c r="V306" i="60"/>
  <c r="V305" i="60" s="1"/>
  <c r="K306" i="60"/>
  <c r="W305" i="60"/>
  <c r="U305" i="60"/>
  <c r="T305" i="60"/>
  <c r="S305" i="60"/>
  <c r="R305" i="60"/>
  <c r="Q305" i="60"/>
  <c r="P305" i="60"/>
  <c r="O305" i="60"/>
  <c r="N305" i="60"/>
  <c r="M305" i="60"/>
  <c r="L305" i="60"/>
  <c r="J305" i="60"/>
  <c r="I305" i="60"/>
  <c r="H305" i="60"/>
  <c r="G305" i="60"/>
  <c r="F305" i="60"/>
  <c r="E305" i="60"/>
  <c r="D305" i="60"/>
  <c r="C305" i="60"/>
  <c r="B305" i="60"/>
  <c r="V304" i="60"/>
  <c r="V303" i="60" s="1"/>
  <c r="K304" i="60"/>
  <c r="K303" i="60" s="1"/>
  <c r="W303" i="60"/>
  <c r="W338" i="60" s="1"/>
  <c r="U303" i="60"/>
  <c r="U338" i="60" s="1"/>
  <c r="T303" i="60"/>
  <c r="T338" i="60" s="1"/>
  <c r="S303" i="60"/>
  <c r="R303" i="60"/>
  <c r="Q303" i="60"/>
  <c r="P303" i="60"/>
  <c r="P338" i="60" s="1"/>
  <c r="O303" i="60"/>
  <c r="N303" i="60"/>
  <c r="N338" i="60" s="1"/>
  <c r="M303" i="60"/>
  <c r="L303" i="60"/>
  <c r="J303" i="60"/>
  <c r="I303" i="60"/>
  <c r="I338" i="60" s="1"/>
  <c r="H303" i="60"/>
  <c r="H338" i="60" s="1"/>
  <c r="G303" i="60"/>
  <c r="F303" i="60"/>
  <c r="F338" i="60" s="1"/>
  <c r="E303" i="60"/>
  <c r="E338" i="60" s="1"/>
  <c r="D303" i="60"/>
  <c r="C303" i="60"/>
  <c r="B303" i="60"/>
  <c r="M381" i="57"/>
  <c r="L381" i="57"/>
  <c r="J381" i="57"/>
  <c r="I381" i="57"/>
  <c r="N349" i="57"/>
  <c r="N381" i="57" s="1"/>
  <c r="K349" i="57"/>
  <c r="G349" i="57"/>
  <c r="F349" i="57"/>
  <c r="E349" i="57"/>
  <c r="C349" i="57"/>
  <c r="B349" i="57"/>
  <c r="N344" i="57"/>
  <c r="K344" i="57"/>
  <c r="K381" i="57" s="1"/>
  <c r="G344" i="57"/>
  <c r="F344" i="57"/>
  <c r="F381" i="57" s="1"/>
  <c r="E344" i="57"/>
  <c r="E381" i="57" s="1"/>
  <c r="C344" i="57"/>
  <c r="B344" i="57"/>
  <c r="D344" i="57" s="1"/>
  <c r="G338" i="60" l="1"/>
  <c r="AH561" i="45"/>
  <c r="P541" i="45"/>
  <c r="P544" i="45"/>
  <c r="AB561" i="45"/>
  <c r="P558" i="45"/>
  <c r="AF558" i="45" s="1"/>
  <c r="P872" i="53"/>
  <c r="C381" i="57"/>
  <c r="Q338" i="60"/>
  <c r="N549" i="45"/>
  <c r="P549" i="45" s="1"/>
  <c r="P557" i="45"/>
  <c r="H349" i="57"/>
  <c r="J338" i="60"/>
  <c r="R338" i="60"/>
  <c r="K526" i="45"/>
  <c r="AE535" i="45"/>
  <c r="AE541" i="45"/>
  <c r="AE544" i="45"/>
  <c r="K547" i="45"/>
  <c r="J561" i="45"/>
  <c r="S338" i="60"/>
  <c r="K305" i="60"/>
  <c r="K338" i="60" s="1"/>
  <c r="O561" i="45"/>
  <c r="P531" i="45"/>
  <c r="P543" i="45"/>
  <c r="AF543" i="45" s="1"/>
  <c r="C555" i="45"/>
  <c r="L555" i="45"/>
  <c r="V561" i="45"/>
  <c r="G381" i="57"/>
  <c r="D338" i="60"/>
  <c r="L338" i="60"/>
  <c r="K331" i="60"/>
  <c r="AE540" i="45"/>
  <c r="AE543" i="45"/>
  <c r="D561" i="45"/>
  <c r="W561" i="45"/>
  <c r="D349" i="57"/>
  <c r="D381" i="57" s="1"/>
  <c r="M338" i="60"/>
  <c r="AA547" i="45"/>
  <c r="V331" i="60"/>
  <c r="P539" i="45"/>
  <c r="AE542" i="45"/>
  <c r="Q561" i="45"/>
  <c r="AA555" i="45"/>
  <c r="AE559" i="45"/>
  <c r="AF559" i="45" s="1"/>
  <c r="M872" i="53"/>
  <c r="AI561" i="45"/>
  <c r="AF542" i="45"/>
  <c r="AF557" i="45"/>
  <c r="Z547" i="45"/>
  <c r="B561" i="45"/>
  <c r="H561" i="45"/>
  <c r="P532" i="45"/>
  <c r="P536" i="45"/>
  <c r="AF536" i="45" s="1"/>
  <c r="X561" i="45"/>
  <c r="K555" i="45"/>
  <c r="AE560" i="45"/>
  <c r="AF560" i="45" s="1"/>
  <c r="P533" i="45"/>
  <c r="AE538" i="45"/>
  <c r="AF538" i="45" s="1"/>
  <c r="AE545" i="45"/>
  <c r="AF545" i="45" s="1"/>
  <c r="AC548" i="45"/>
  <c r="AC547" i="45" s="1"/>
  <c r="AE549" i="45"/>
  <c r="AF549" i="45" s="1"/>
  <c r="AE553" i="45"/>
  <c r="S561" i="45"/>
  <c r="Y561" i="45"/>
  <c r="AG555" i="45"/>
  <c r="Z523" i="45"/>
  <c r="C526" i="45"/>
  <c r="I561" i="45"/>
  <c r="AA526" i="45"/>
  <c r="AG547" i="45"/>
  <c r="T561" i="45"/>
  <c r="U561" i="45"/>
  <c r="AF544" i="45"/>
  <c r="F561" i="45"/>
  <c r="M561" i="45"/>
  <c r="AD561" i="45"/>
  <c r="AA561" i="45"/>
  <c r="AE531" i="45"/>
  <c r="P537" i="45"/>
  <c r="AF537" i="45" s="1"/>
  <c r="P550" i="45"/>
  <c r="P553" i="45"/>
  <c r="AF553" i="45" s="1"/>
  <c r="G561" i="45"/>
  <c r="AC556" i="45"/>
  <c r="AC555" i="45" s="1"/>
  <c r="N547" i="45"/>
  <c r="N526" i="45"/>
  <c r="AF534" i="45"/>
  <c r="Z526" i="45"/>
  <c r="AF530" i="45"/>
  <c r="AF532" i="45"/>
  <c r="AF541" i="45"/>
  <c r="K561" i="45"/>
  <c r="AF533" i="45"/>
  <c r="AF535" i="45"/>
  <c r="AF539" i="45"/>
  <c r="N555" i="45"/>
  <c r="AC526" i="45"/>
  <c r="AF529" i="45"/>
  <c r="AF531" i="45"/>
  <c r="AE533" i="45"/>
  <c r="AF540" i="45"/>
  <c r="P551" i="45"/>
  <c r="AF551" i="45" s="1"/>
  <c r="N524" i="45"/>
  <c r="N523" i="45" s="1"/>
  <c r="Z555" i="45"/>
  <c r="L526" i="45"/>
  <c r="L561" i="45" s="1"/>
  <c r="R526" i="45"/>
  <c r="R561" i="45" s="1"/>
  <c r="C547" i="45"/>
  <c r="C561" i="45" s="1"/>
  <c r="P548" i="45"/>
  <c r="AE550" i="45"/>
  <c r="AF550" i="45" s="1"/>
  <c r="P556" i="45"/>
  <c r="V338" i="60"/>
  <c r="H344" i="57"/>
  <c r="H381" i="57" s="1"/>
  <c r="B381" i="57"/>
  <c r="AE526" i="45" l="1"/>
  <c r="AC561" i="45"/>
  <c r="P526" i="45"/>
  <c r="AE548" i="45"/>
  <c r="AE547" i="45" s="1"/>
  <c r="AG561" i="45"/>
  <c r="AF526" i="45"/>
  <c r="Z561" i="45"/>
  <c r="P524" i="45"/>
  <c r="AF524" i="45" s="1"/>
  <c r="AF523" i="45" s="1"/>
  <c r="AE556" i="45"/>
  <c r="AE555" i="45" s="1"/>
  <c r="P555" i="45"/>
  <c r="N561" i="45"/>
  <c r="P547" i="45"/>
  <c r="AF548" i="45"/>
  <c r="AF547" i="45" s="1"/>
  <c r="AE561" i="45" l="1"/>
  <c r="AF556" i="45"/>
  <c r="AF555" i="45" s="1"/>
  <c r="P523" i="45"/>
  <c r="P561" i="45"/>
  <c r="O504" i="53"/>
  <c r="P504" i="53" s="1"/>
  <c r="M504" i="53"/>
  <c r="O503" i="53"/>
  <c r="P503" i="53" s="1"/>
  <c r="M503" i="53"/>
  <c r="P502" i="53"/>
  <c r="M502" i="53"/>
  <c r="P501" i="53"/>
  <c r="M501" i="53"/>
  <c r="P500" i="53"/>
  <c r="M500" i="53"/>
  <c r="P499" i="53"/>
  <c r="M499" i="53"/>
  <c r="P498" i="53"/>
  <c r="M498" i="53"/>
  <c r="P497" i="53"/>
  <c r="M497" i="53"/>
  <c r="P496" i="53"/>
  <c r="M496" i="53"/>
  <c r="P495" i="53"/>
  <c r="M495" i="53"/>
  <c r="P494" i="53"/>
  <c r="M494" i="53"/>
  <c r="P493" i="53"/>
  <c r="M493" i="53"/>
  <c r="P492" i="53"/>
  <c r="M492" i="53"/>
  <c r="AI494" i="45"/>
  <c r="AC494" i="45"/>
  <c r="AB494" i="45"/>
  <c r="AA494" i="45"/>
  <c r="Y494" i="45"/>
  <c r="X494" i="45"/>
  <c r="W494" i="45"/>
  <c r="V494" i="45"/>
  <c r="U494" i="45"/>
  <c r="T494" i="45"/>
  <c r="S494" i="45"/>
  <c r="R494" i="45"/>
  <c r="Q494" i="45"/>
  <c r="N494" i="45"/>
  <c r="M494" i="45"/>
  <c r="L494" i="45"/>
  <c r="J494" i="45"/>
  <c r="I494" i="45"/>
  <c r="H494" i="45"/>
  <c r="G494" i="45"/>
  <c r="F494" i="45"/>
  <c r="E494" i="45"/>
  <c r="D494" i="45"/>
  <c r="C494" i="45"/>
  <c r="B494" i="45"/>
  <c r="AH492" i="45"/>
  <c r="AG492" i="45"/>
  <c r="AF492" i="45"/>
  <c r="Z492" i="45"/>
  <c r="AD492" i="45" s="1"/>
  <c r="AE492" i="45" s="1"/>
  <c r="AH489" i="45"/>
  <c r="AG489" i="45"/>
  <c r="AF489" i="45"/>
  <c r="Z489" i="45"/>
  <c r="AD489" i="45" s="1"/>
  <c r="AE489" i="45" s="1"/>
  <c r="P489" i="45"/>
  <c r="K489" i="45"/>
  <c r="O489" i="45" s="1"/>
  <c r="AH488" i="45"/>
  <c r="AG488" i="45"/>
  <c r="AF488" i="45"/>
  <c r="Z488" i="45"/>
  <c r="AD488" i="45" s="1"/>
  <c r="AE488" i="45" s="1"/>
  <c r="P488" i="45"/>
  <c r="K488" i="45"/>
  <c r="O488" i="45" s="1"/>
  <c r="AH487" i="45"/>
  <c r="AG487" i="45"/>
  <c r="AF487" i="45"/>
  <c r="Z487" i="45"/>
  <c r="AD487" i="45" s="1"/>
  <c r="AE487" i="45" s="1"/>
  <c r="P487" i="45"/>
  <c r="K487" i="45"/>
  <c r="O487" i="45" s="1"/>
  <c r="AH486" i="45"/>
  <c r="AG486" i="45"/>
  <c r="AF486" i="45"/>
  <c r="Z486" i="45"/>
  <c r="AD486" i="45" s="1"/>
  <c r="AE486" i="45" s="1"/>
  <c r="P486" i="45"/>
  <c r="K486" i="45"/>
  <c r="O486" i="45" s="1"/>
  <c r="AH485" i="45"/>
  <c r="AG485" i="45"/>
  <c r="AF485" i="45"/>
  <c r="Z485" i="45"/>
  <c r="AD485" i="45" s="1"/>
  <c r="AE485" i="45" s="1"/>
  <c r="P485" i="45"/>
  <c r="K485" i="45"/>
  <c r="O485" i="45" s="1"/>
  <c r="AH484" i="45"/>
  <c r="AG484" i="45"/>
  <c r="AF484" i="45"/>
  <c r="Z484" i="45"/>
  <c r="AD484" i="45" s="1"/>
  <c r="AE484" i="45" s="1"/>
  <c r="P484" i="45"/>
  <c r="K484" i="45"/>
  <c r="O484" i="45" s="1"/>
  <c r="AH483" i="45"/>
  <c r="AG483" i="45"/>
  <c r="AF483" i="45"/>
  <c r="Z483" i="45"/>
  <c r="AD483" i="45" s="1"/>
  <c r="AE483" i="45" s="1"/>
  <c r="P483" i="45"/>
  <c r="K483" i="45"/>
  <c r="O483" i="45" s="1"/>
  <c r="AH482" i="45"/>
  <c r="AG482" i="45"/>
  <c r="AF482" i="45"/>
  <c r="Z482" i="45"/>
  <c r="AD482" i="45" s="1"/>
  <c r="AE482" i="45" s="1"/>
  <c r="P482" i="45"/>
  <c r="K482" i="45"/>
  <c r="O482" i="45" s="1"/>
  <c r="AH481" i="45"/>
  <c r="AG481" i="45"/>
  <c r="AF481" i="45"/>
  <c r="Z481" i="45"/>
  <c r="AD481" i="45" s="1"/>
  <c r="AE481" i="45" s="1"/>
  <c r="P481" i="45"/>
  <c r="K481" i="45"/>
  <c r="O481" i="45" s="1"/>
  <c r="AH480" i="45"/>
  <c r="AG480" i="45"/>
  <c r="AF480" i="45"/>
  <c r="Z480" i="45"/>
  <c r="AD480" i="45" s="1"/>
  <c r="AE480" i="45" s="1"/>
  <c r="P480" i="45"/>
  <c r="K480" i="45"/>
  <c r="O480" i="45" s="1"/>
  <c r="AH479" i="45"/>
  <c r="AG479" i="45"/>
  <c r="AF479" i="45"/>
  <c r="Z479" i="45"/>
  <c r="AD479" i="45" s="1"/>
  <c r="AE479" i="45" s="1"/>
  <c r="P479" i="45"/>
  <c r="K479" i="45"/>
  <c r="O479" i="45" s="1"/>
  <c r="AH478" i="45"/>
  <c r="AG478" i="45"/>
  <c r="AF478" i="45"/>
  <c r="Z478" i="45"/>
  <c r="AD478" i="45" s="1"/>
  <c r="AE478" i="45" s="1"/>
  <c r="P478" i="45"/>
  <c r="K478" i="45"/>
  <c r="O478" i="45" s="1"/>
  <c r="AH477" i="45"/>
  <c r="AG477" i="45"/>
  <c r="AF477" i="45"/>
  <c r="Z477" i="45"/>
  <c r="AD477" i="45" s="1"/>
  <c r="AE477" i="45" s="1"/>
  <c r="P477" i="45"/>
  <c r="K477" i="45"/>
  <c r="O477" i="45" s="1"/>
  <c r="AH476" i="45"/>
  <c r="AG476" i="45"/>
  <c r="AF476" i="45"/>
  <c r="Z476" i="45"/>
  <c r="AD476" i="45" s="1"/>
  <c r="AE476" i="45" s="1"/>
  <c r="P476" i="45"/>
  <c r="K476" i="45"/>
  <c r="O476" i="45" s="1"/>
  <c r="AH475" i="45"/>
  <c r="AG475" i="45"/>
  <c r="AF475" i="45"/>
  <c r="Z475" i="45"/>
  <c r="AD475" i="45" s="1"/>
  <c r="AE475" i="45" s="1"/>
  <c r="P475" i="45"/>
  <c r="K475" i="45"/>
  <c r="O475" i="45" s="1"/>
  <c r="AH474" i="45"/>
  <c r="AG474" i="45"/>
  <c r="AF474" i="45"/>
  <c r="Z474" i="45"/>
  <c r="AD474" i="45" s="1"/>
  <c r="AE474" i="45" s="1"/>
  <c r="P474" i="45"/>
  <c r="K474" i="45"/>
  <c r="O474" i="45" s="1"/>
  <c r="AH473" i="45"/>
  <c r="AG473" i="45"/>
  <c r="AF473" i="45"/>
  <c r="Z473" i="45"/>
  <c r="AD473" i="45" s="1"/>
  <c r="AE473" i="45" s="1"/>
  <c r="P473" i="45"/>
  <c r="K473" i="45"/>
  <c r="O473" i="45" s="1"/>
  <c r="AH472" i="45"/>
  <c r="AG472" i="45"/>
  <c r="AF472" i="45"/>
  <c r="Z472" i="45"/>
  <c r="AD472" i="45" s="1"/>
  <c r="AE472" i="45" s="1"/>
  <c r="P472" i="45"/>
  <c r="K472" i="45"/>
  <c r="O472" i="45" s="1"/>
  <c r="AH471" i="45"/>
  <c r="AG471" i="45"/>
  <c r="AF471" i="45"/>
  <c r="Z471" i="45"/>
  <c r="AD471" i="45" s="1"/>
  <c r="AE471" i="45" s="1"/>
  <c r="P471" i="45"/>
  <c r="K471" i="45"/>
  <c r="O471" i="45" s="1"/>
  <c r="AH470" i="45"/>
  <c r="AG470" i="45"/>
  <c r="AF470" i="45"/>
  <c r="Z470" i="45"/>
  <c r="AD470" i="45" s="1"/>
  <c r="AE470" i="45" s="1"/>
  <c r="P470" i="45"/>
  <c r="K470" i="45"/>
  <c r="O470" i="45" s="1"/>
  <c r="AH469" i="45"/>
  <c r="AG469" i="45"/>
  <c r="AF469" i="45"/>
  <c r="Z469" i="45"/>
  <c r="AD469" i="45" s="1"/>
  <c r="AE469" i="45" s="1"/>
  <c r="P469" i="45"/>
  <c r="K469" i="45"/>
  <c r="O469" i="45" s="1"/>
  <c r="AH468" i="45"/>
  <c r="AG468" i="45"/>
  <c r="AF468" i="45"/>
  <c r="Z468" i="45"/>
  <c r="AD468" i="45" s="1"/>
  <c r="AE468" i="45" s="1"/>
  <c r="P468" i="45"/>
  <c r="K468" i="45"/>
  <c r="O468" i="45" s="1"/>
  <c r="AH467" i="45"/>
  <c r="AG467" i="45"/>
  <c r="AF467" i="45"/>
  <c r="Z467" i="45"/>
  <c r="AD467" i="45" s="1"/>
  <c r="AE467" i="45" s="1"/>
  <c r="P467" i="45"/>
  <c r="K467" i="45"/>
  <c r="O467" i="45" s="1"/>
  <c r="AH459" i="45"/>
  <c r="AG459" i="45"/>
  <c r="AF459" i="45"/>
  <c r="Z459" i="45"/>
  <c r="AD459" i="45" s="1"/>
  <c r="AE459" i="45" s="1"/>
  <c r="P459" i="45"/>
  <c r="K459" i="45"/>
  <c r="O459" i="45" s="1"/>
  <c r="AH458" i="45"/>
  <c r="AG458" i="45"/>
  <c r="AF458" i="45"/>
  <c r="Z458" i="45"/>
  <c r="AD458" i="45" s="1"/>
  <c r="AE458" i="45" s="1"/>
  <c r="P458" i="45"/>
  <c r="K458" i="45"/>
  <c r="O458" i="45" s="1"/>
  <c r="AH457" i="45"/>
  <c r="AG457" i="45"/>
  <c r="AF457" i="45"/>
  <c r="Z457" i="45"/>
  <c r="AD457" i="45" s="1"/>
  <c r="AE457" i="45" s="1"/>
  <c r="P457" i="45"/>
  <c r="K457" i="45"/>
  <c r="O457" i="45" s="1"/>
  <c r="AH456" i="45"/>
  <c r="AG456" i="45"/>
  <c r="AF456" i="45"/>
  <c r="Z456" i="45"/>
  <c r="AD456" i="45" s="1"/>
  <c r="AE456" i="45" s="1"/>
  <c r="P456" i="45"/>
  <c r="K456" i="45"/>
  <c r="O456" i="45" s="1"/>
  <c r="AH455" i="45"/>
  <c r="AG455" i="45"/>
  <c r="AF455" i="45"/>
  <c r="Z455" i="45"/>
  <c r="AD455" i="45" s="1"/>
  <c r="AE455" i="45" s="1"/>
  <c r="P455" i="45"/>
  <c r="K455" i="45"/>
  <c r="O455" i="45" s="1"/>
  <c r="AH454" i="45"/>
  <c r="AG454" i="45"/>
  <c r="AF454" i="45"/>
  <c r="Z454" i="45"/>
  <c r="AD454" i="45" s="1"/>
  <c r="AE454" i="45" s="1"/>
  <c r="P454" i="45"/>
  <c r="K454" i="45"/>
  <c r="O454" i="45" s="1"/>
  <c r="AH453" i="45"/>
  <c r="AG453" i="45"/>
  <c r="AF453" i="45"/>
  <c r="Z453" i="45"/>
  <c r="AD453" i="45" s="1"/>
  <c r="AE453" i="45" s="1"/>
  <c r="P453" i="45"/>
  <c r="K453" i="45"/>
  <c r="O453" i="45" s="1"/>
  <c r="AH452" i="45"/>
  <c r="AG452" i="45"/>
  <c r="AF452" i="45"/>
  <c r="Z452" i="45"/>
  <c r="AD452" i="45" s="1"/>
  <c r="AE452" i="45" s="1"/>
  <c r="P452" i="45"/>
  <c r="K452" i="45"/>
  <c r="O452" i="45" s="1"/>
  <c r="AH451" i="45"/>
  <c r="AG451" i="45"/>
  <c r="AF451" i="45"/>
  <c r="Z451" i="45"/>
  <c r="AD451" i="45" s="1"/>
  <c r="AE451" i="45" s="1"/>
  <c r="P451" i="45"/>
  <c r="K451" i="45"/>
  <c r="O451" i="45" s="1"/>
  <c r="AH450" i="45"/>
  <c r="AG450" i="45"/>
  <c r="AF450" i="45"/>
  <c r="Z450" i="45"/>
  <c r="AD450" i="45" s="1"/>
  <c r="AE450" i="45" s="1"/>
  <c r="P450" i="45"/>
  <c r="K450" i="45"/>
  <c r="O450" i="45" s="1"/>
  <c r="AH449" i="45"/>
  <c r="AG449" i="45"/>
  <c r="AF449" i="45"/>
  <c r="Z449" i="45"/>
  <c r="AD449" i="45" s="1"/>
  <c r="AE449" i="45" s="1"/>
  <c r="P449" i="45"/>
  <c r="K449" i="45"/>
  <c r="O449" i="45" s="1"/>
  <c r="AH448" i="45"/>
  <c r="AG448" i="45"/>
  <c r="AF448" i="45"/>
  <c r="Z448" i="45"/>
  <c r="AD448" i="45" s="1"/>
  <c r="AE448" i="45" s="1"/>
  <c r="P448" i="45"/>
  <c r="K448" i="45"/>
  <c r="O448" i="45" s="1"/>
  <c r="AH447" i="45"/>
  <c r="AG447" i="45"/>
  <c r="AF447" i="45"/>
  <c r="Z447" i="45"/>
  <c r="AD447" i="45" s="1"/>
  <c r="AE447" i="45" s="1"/>
  <c r="P447" i="45"/>
  <c r="K447" i="45"/>
  <c r="O447" i="45" s="1"/>
  <c r="AH446" i="45"/>
  <c r="AG446" i="45"/>
  <c r="AF446" i="45"/>
  <c r="Z446" i="45"/>
  <c r="AD446" i="45" s="1"/>
  <c r="AE446" i="45" s="1"/>
  <c r="P446" i="45"/>
  <c r="K446" i="45"/>
  <c r="O446" i="45" s="1"/>
  <c r="AH445" i="45"/>
  <c r="AG445" i="45"/>
  <c r="AF445" i="45"/>
  <c r="Z445" i="45"/>
  <c r="AD445" i="45" s="1"/>
  <c r="AE445" i="45" s="1"/>
  <c r="P445" i="45"/>
  <c r="K445" i="45"/>
  <c r="O445" i="45" s="1"/>
  <c r="AH444" i="45"/>
  <c r="AG444" i="45"/>
  <c r="AF444" i="45"/>
  <c r="Z444" i="45"/>
  <c r="AD444" i="45" s="1"/>
  <c r="AE444" i="45" s="1"/>
  <c r="P444" i="45"/>
  <c r="K444" i="45"/>
  <c r="O444" i="45" s="1"/>
  <c r="AH443" i="45"/>
  <c r="AG443" i="45"/>
  <c r="AF443" i="45"/>
  <c r="Z443" i="45"/>
  <c r="AD443" i="45" s="1"/>
  <c r="AE443" i="45" s="1"/>
  <c r="P443" i="45"/>
  <c r="K443" i="45"/>
  <c r="O443" i="45" s="1"/>
  <c r="AH442" i="45"/>
  <c r="AG442" i="45"/>
  <c r="AF442" i="45"/>
  <c r="Z442" i="45"/>
  <c r="AD442" i="45" s="1"/>
  <c r="AE442" i="45" s="1"/>
  <c r="P442" i="45"/>
  <c r="K442" i="45"/>
  <c r="O442" i="45" s="1"/>
  <c r="AH441" i="45"/>
  <c r="AG441" i="45"/>
  <c r="AF441" i="45"/>
  <c r="Z441" i="45"/>
  <c r="AD441" i="45" s="1"/>
  <c r="AE441" i="45" s="1"/>
  <c r="P441" i="45"/>
  <c r="K441" i="45"/>
  <c r="O441" i="45" s="1"/>
  <c r="AH440" i="45"/>
  <c r="AG440" i="45"/>
  <c r="AF440" i="45"/>
  <c r="Z440" i="45"/>
  <c r="AD440" i="45" s="1"/>
  <c r="AE440" i="45" s="1"/>
  <c r="P440" i="45"/>
  <c r="K440" i="45"/>
  <c r="O440" i="45" s="1"/>
  <c r="AH439" i="45"/>
  <c r="AG439" i="45"/>
  <c r="AF439" i="45"/>
  <c r="Z439" i="45"/>
  <c r="AD439" i="45" s="1"/>
  <c r="AE439" i="45" s="1"/>
  <c r="P439" i="45"/>
  <c r="K439" i="45"/>
  <c r="O439" i="45" s="1"/>
  <c r="AH438" i="45"/>
  <c r="AG438" i="45"/>
  <c r="AF438" i="45"/>
  <c r="Z438" i="45"/>
  <c r="AD438" i="45" s="1"/>
  <c r="AE438" i="45" s="1"/>
  <c r="P438" i="45"/>
  <c r="K438" i="45"/>
  <c r="O438" i="45" s="1"/>
  <c r="AH437" i="45"/>
  <c r="AG437" i="45"/>
  <c r="AF437" i="45"/>
  <c r="Z437" i="45"/>
  <c r="AD437" i="45" s="1"/>
  <c r="AE437" i="45" s="1"/>
  <c r="P437" i="45"/>
  <c r="K437" i="45"/>
  <c r="O437" i="45" s="1"/>
  <c r="AH436" i="45"/>
  <c r="AG436" i="45"/>
  <c r="AF436" i="45"/>
  <c r="Z436" i="45"/>
  <c r="AD436" i="45" s="1"/>
  <c r="AE436" i="45" s="1"/>
  <c r="P436" i="45"/>
  <c r="K436" i="45"/>
  <c r="O436" i="45" s="1"/>
  <c r="AH435" i="45"/>
  <c r="AG435" i="45"/>
  <c r="AF435" i="45"/>
  <c r="AD435" i="45"/>
  <c r="AE435" i="45" s="1"/>
  <c r="Z435" i="45"/>
  <c r="P435" i="45"/>
  <c r="O435" i="45"/>
  <c r="K435" i="45"/>
  <c r="AH434" i="45"/>
  <c r="AG434" i="45"/>
  <c r="AF434" i="45"/>
  <c r="Z434" i="45"/>
  <c r="AD434" i="45" s="1"/>
  <c r="AE434" i="45" s="1"/>
  <c r="P434" i="45"/>
  <c r="K434" i="45"/>
  <c r="O434" i="45" s="1"/>
  <c r="AH433" i="45"/>
  <c r="AG433" i="45"/>
  <c r="AF433" i="45"/>
  <c r="Z433" i="45"/>
  <c r="AD433" i="45" s="1"/>
  <c r="AE433" i="45" s="1"/>
  <c r="P433" i="45"/>
  <c r="K433" i="45"/>
  <c r="O433" i="45" s="1"/>
  <c r="AH432" i="45"/>
  <c r="AG432" i="45"/>
  <c r="AF432" i="45"/>
  <c r="Z432" i="45"/>
  <c r="AD432" i="45" s="1"/>
  <c r="AE432" i="45" s="1"/>
  <c r="P432" i="45"/>
  <c r="K432" i="45"/>
  <c r="O432" i="45" s="1"/>
  <c r="AH431" i="45"/>
  <c r="AG431" i="45"/>
  <c r="AF431" i="45"/>
  <c r="Z431" i="45"/>
  <c r="AD431" i="45" s="1"/>
  <c r="AE431" i="45" s="1"/>
  <c r="P431" i="45"/>
  <c r="O431" i="45"/>
  <c r="K431" i="45"/>
  <c r="AH430" i="45"/>
  <c r="AG430" i="45"/>
  <c r="AF430" i="45"/>
  <c r="Z430" i="45"/>
  <c r="AD430" i="45" s="1"/>
  <c r="AE430" i="45" s="1"/>
  <c r="P430" i="45"/>
  <c r="K430" i="45"/>
  <c r="O430" i="45" s="1"/>
  <c r="AH429" i="45"/>
  <c r="AG429" i="45"/>
  <c r="AF429" i="45"/>
  <c r="Z429" i="45"/>
  <c r="AD429" i="45" s="1"/>
  <c r="AE429" i="45" s="1"/>
  <c r="P429" i="45"/>
  <c r="K429" i="45"/>
  <c r="O429" i="45" s="1"/>
  <c r="AH428" i="45"/>
  <c r="AG428" i="45"/>
  <c r="AF428" i="45"/>
  <c r="AD428" i="45"/>
  <c r="AE428" i="45" s="1"/>
  <c r="Z428" i="45"/>
  <c r="P428" i="45"/>
  <c r="K428" i="45"/>
  <c r="O428" i="45" s="1"/>
  <c r="AH427" i="45"/>
  <c r="AG427" i="45"/>
  <c r="AF427" i="45"/>
  <c r="Z427" i="45"/>
  <c r="AD427" i="45" s="1"/>
  <c r="AE427" i="45" s="1"/>
  <c r="P427" i="45"/>
  <c r="K427" i="45"/>
  <c r="O427" i="45" s="1"/>
  <c r="AH426" i="45"/>
  <c r="AG426" i="45"/>
  <c r="AF426" i="45"/>
  <c r="Z426" i="45"/>
  <c r="AD426" i="45" s="1"/>
  <c r="AE426" i="45" s="1"/>
  <c r="P426" i="45"/>
  <c r="K426" i="45"/>
  <c r="O426" i="45" s="1"/>
  <c r="AH425" i="45"/>
  <c r="AG425" i="45"/>
  <c r="AF425" i="45"/>
  <c r="Z425" i="45"/>
  <c r="AD425" i="45" s="1"/>
  <c r="AE425" i="45" s="1"/>
  <c r="P425" i="45"/>
  <c r="K425" i="45"/>
  <c r="O425" i="45" s="1"/>
  <c r="AH424" i="45"/>
  <c r="AG424" i="45"/>
  <c r="AF424" i="45"/>
  <c r="Z424" i="45"/>
  <c r="AD424" i="45" s="1"/>
  <c r="AE424" i="45" s="1"/>
  <c r="P424" i="45"/>
  <c r="K424" i="45"/>
  <c r="O424" i="45" s="1"/>
  <c r="AH423" i="45"/>
  <c r="AG423" i="45"/>
  <c r="AF423" i="45"/>
  <c r="Z423" i="45"/>
  <c r="AD423" i="45" s="1"/>
  <c r="AE423" i="45" s="1"/>
  <c r="P423" i="45"/>
  <c r="K423" i="45"/>
  <c r="O423" i="45" s="1"/>
  <c r="AH422" i="45"/>
  <c r="AG422" i="45"/>
  <c r="AF422" i="45"/>
  <c r="AD422" i="45"/>
  <c r="AE422" i="45" s="1"/>
  <c r="Z422" i="45"/>
  <c r="P422" i="45"/>
  <c r="K422" i="45"/>
  <c r="O422" i="45" s="1"/>
  <c r="AH421" i="45"/>
  <c r="AG421" i="45"/>
  <c r="AF421" i="45"/>
  <c r="Z421" i="45"/>
  <c r="AD421" i="45" s="1"/>
  <c r="AE421" i="45" s="1"/>
  <c r="P421" i="45"/>
  <c r="K421" i="45"/>
  <c r="O421" i="45" s="1"/>
  <c r="AH418" i="45"/>
  <c r="AG418" i="45"/>
  <c r="AF418" i="45"/>
  <c r="Z418" i="45"/>
  <c r="AD418" i="45" s="1"/>
  <c r="AE418" i="45" s="1"/>
  <c r="AH417" i="45"/>
  <c r="AG417" i="45"/>
  <c r="AF417" i="45"/>
  <c r="Z417" i="45"/>
  <c r="AD417" i="45" s="1"/>
  <c r="AE417" i="45" s="1"/>
  <c r="P417" i="45"/>
  <c r="K417" i="45"/>
  <c r="O417" i="45" s="1"/>
  <c r="AH416" i="45"/>
  <c r="AG416" i="45"/>
  <c r="AF416" i="45"/>
  <c r="Z416" i="45"/>
  <c r="AD416" i="45" s="1"/>
  <c r="AE416" i="45" s="1"/>
  <c r="P416" i="45"/>
  <c r="K416" i="45"/>
  <c r="O416" i="45" s="1"/>
  <c r="AH415" i="45"/>
  <c r="AG415" i="45"/>
  <c r="AF415" i="45"/>
  <c r="Z415" i="45"/>
  <c r="AD415" i="45" s="1"/>
  <c r="AE415" i="45" s="1"/>
  <c r="P415" i="45"/>
  <c r="K415" i="45"/>
  <c r="O415" i="45" s="1"/>
  <c r="AH414" i="45"/>
  <c r="AG414" i="45"/>
  <c r="AF414" i="45"/>
  <c r="AD414" i="45"/>
  <c r="AE414" i="45" s="1"/>
  <c r="Z414" i="45"/>
  <c r="P414" i="45"/>
  <c r="O414" i="45"/>
  <c r="K414" i="45"/>
  <c r="AH413" i="45"/>
  <c r="AG413" i="45"/>
  <c r="AF413" i="45"/>
  <c r="Z413" i="45"/>
  <c r="AD413" i="45" s="1"/>
  <c r="AE413" i="45" s="1"/>
  <c r="P413" i="45"/>
  <c r="K413" i="45"/>
  <c r="O413" i="45" s="1"/>
  <c r="AH412" i="45"/>
  <c r="AG412" i="45"/>
  <c r="AF412" i="45"/>
  <c r="Z412" i="45"/>
  <c r="AD412" i="45" s="1"/>
  <c r="AE412" i="45" s="1"/>
  <c r="P412" i="45"/>
  <c r="K412" i="45"/>
  <c r="O412" i="45" s="1"/>
  <c r="AH411" i="45"/>
  <c r="AG411" i="45"/>
  <c r="AF411" i="45"/>
  <c r="Z411" i="45"/>
  <c r="AD411" i="45" s="1"/>
  <c r="AE411" i="45" s="1"/>
  <c r="P411" i="45"/>
  <c r="K411" i="45"/>
  <c r="O411" i="45" s="1"/>
  <c r="AH410" i="45"/>
  <c r="AG410" i="45"/>
  <c r="AF410" i="45"/>
  <c r="Z410" i="45"/>
  <c r="AD410" i="45" s="1"/>
  <c r="AE410" i="45" s="1"/>
  <c r="P410" i="45"/>
  <c r="K410" i="45"/>
  <c r="O410" i="45" s="1"/>
  <c r="AH409" i="45"/>
  <c r="AG409" i="45"/>
  <c r="AF409" i="45"/>
  <c r="Z409" i="45"/>
  <c r="AD409" i="45" s="1"/>
  <c r="AE409" i="45" s="1"/>
  <c r="P409" i="45"/>
  <c r="K409" i="45"/>
  <c r="O409" i="45" s="1"/>
  <c r="AH408" i="45"/>
  <c r="AG408" i="45"/>
  <c r="AF408" i="45"/>
  <c r="AD408" i="45"/>
  <c r="AE408" i="45" s="1"/>
  <c r="Z408" i="45"/>
  <c r="P408" i="45"/>
  <c r="K408" i="45"/>
  <c r="O408" i="45" s="1"/>
  <c r="AH407" i="45"/>
  <c r="AG407" i="45"/>
  <c r="AF407" i="45"/>
  <c r="Z407" i="45"/>
  <c r="AD407" i="45" s="1"/>
  <c r="AE407" i="45" s="1"/>
  <c r="P407" i="45"/>
  <c r="K407" i="45"/>
  <c r="O407" i="45" s="1"/>
  <c r="AH406" i="45"/>
  <c r="AG406" i="45"/>
  <c r="AF406" i="45"/>
  <c r="Z406" i="45"/>
  <c r="AD406" i="45" s="1"/>
  <c r="AE406" i="45" s="1"/>
  <c r="P406" i="45"/>
  <c r="K406" i="45"/>
  <c r="O406" i="45" s="1"/>
  <c r="AH405" i="45"/>
  <c r="AG405" i="45"/>
  <c r="AF405" i="45"/>
  <c r="Z405" i="45"/>
  <c r="AD405" i="45" s="1"/>
  <c r="AE405" i="45" s="1"/>
  <c r="P405" i="45"/>
  <c r="K405" i="45"/>
  <c r="O405" i="45" s="1"/>
  <c r="AH404" i="45"/>
  <c r="AG404" i="45"/>
  <c r="AF404" i="45"/>
  <c r="Z404" i="45"/>
  <c r="AD404" i="45" s="1"/>
  <c r="AE404" i="45" s="1"/>
  <c r="P404" i="45"/>
  <c r="K404" i="45"/>
  <c r="O404" i="45" s="1"/>
  <c r="AH403" i="45"/>
  <c r="AG403" i="45"/>
  <c r="AF403" i="45"/>
  <c r="Z403" i="45"/>
  <c r="AD403" i="45" s="1"/>
  <c r="AE403" i="45" s="1"/>
  <c r="P403" i="45"/>
  <c r="K403" i="45"/>
  <c r="O403" i="45" s="1"/>
  <c r="AH402" i="45"/>
  <c r="AG402" i="45"/>
  <c r="AF402" i="45"/>
  <c r="Z402" i="45"/>
  <c r="AD402" i="45" s="1"/>
  <c r="AE402" i="45" s="1"/>
  <c r="P402" i="45"/>
  <c r="K402" i="45"/>
  <c r="O402" i="45" s="1"/>
  <c r="AH401" i="45"/>
  <c r="AG401" i="45"/>
  <c r="AF401" i="45"/>
  <c r="AD401" i="45"/>
  <c r="AE401" i="45" s="1"/>
  <c r="Z401" i="45"/>
  <c r="P401" i="45"/>
  <c r="K401" i="45"/>
  <c r="O401" i="45" s="1"/>
  <c r="AH400" i="45"/>
  <c r="AG400" i="45"/>
  <c r="AF400" i="45"/>
  <c r="Z400" i="45"/>
  <c r="AD400" i="45" s="1"/>
  <c r="AE400" i="45" s="1"/>
  <c r="P400" i="45"/>
  <c r="K400" i="45"/>
  <c r="O400" i="45" s="1"/>
  <c r="AH399" i="45"/>
  <c r="AG399" i="45"/>
  <c r="AF399" i="45"/>
  <c r="Z399" i="45"/>
  <c r="AD399" i="45" s="1"/>
  <c r="AE399" i="45" s="1"/>
  <c r="P399" i="45"/>
  <c r="K399" i="45"/>
  <c r="O399" i="45" s="1"/>
  <c r="AH398" i="45"/>
  <c r="AG398" i="45"/>
  <c r="AF398" i="45"/>
  <c r="Z398" i="45"/>
  <c r="AD398" i="45" s="1"/>
  <c r="AE398" i="45" s="1"/>
  <c r="P398" i="45"/>
  <c r="K398" i="45"/>
  <c r="O398" i="45" s="1"/>
  <c r="AH397" i="45"/>
  <c r="AG397" i="45"/>
  <c r="AF397" i="45"/>
  <c r="Z397" i="45"/>
  <c r="AD397" i="45" s="1"/>
  <c r="AE397" i="45" s="1"/>
  <c r="P397" i="45"/>
  <c r="K397" i="45"/>
  <c r="O397" i="45" s="1"/>
  <c r="AH396" i="45"/>
  <c r="AG396" i="45"/>
  <c r="AF396" i="45"/>
  <c r="Z396" i="45"/>
  <c r="AD396" i="45" s="1"/>
  <c r="AE396" i="45" s="1"/>
  <c r="P396" i="45"/>
  <c r="K396" i="45"/>
  <c r="O396" i="45" s="1"/>
  <c r="AH395" i="45"/>
  <c r="AG395" i="45"/>
  <c r="AF395" i="45"/>
  <c r="Z395" i="45"/>
  <c r="AD395" i="45" s="1"/>
  <c r="AE395" i="45" s="1"/>
  <c r="P395" i="45"/>
  <c r="K395" i="45"/>
  <c r="O395" i="45" s="1"/>
  <c r="AH394" i="45"/>
  <c r="AG394" i="45"/>
  <c r="AF394" i="45"/>
  <c r="Z394" i="45"/>
  <c r="AD394" i="45" s="1"/>
  <c r="AE394" i="45" s="1"/>
  <c r="P394" i="45"/>
  <c r="K394" i="45"/>
  <c r="O394" i="45" s="1"/>
  <c r="AH393" i="45"/>
  <c r="AG393" i="45"/>
  <c r="AF393" i="45"/>
  <c r="Z393" i="45"/>
  <c r="AD393" i="45" s="1"/>
  <c r="AE393" i="45" s="1"/>
  <c r="P393" i="45"/>
  <c r="K393" i="45"/>
  <c r="O393" i="45" s="1"/>
  <c r="AH392" i="45"/>
  <c r="AG392" i="45"/>
  <c r="AF392" i="45"/>
  <c r="Z392" i="45"/>
  <c r="AD392" i="45" s="1"/>
  <c r="AE392" i="45" s="1"/>
  <c r="P392" i="45"/>
  <c r="K392" i="45"/>
  <c r="O392" i="45" s="1"/>
  <c r="AH391" i="45"/>
  <c r="AG391" i="45"/>
  <c r="AF391" i="45"/>
  <c r="Z391" i="45"/>
  <c r="AD391" i="45" s="1"/>
  <c r="AE391" i="45" s="1"/>
  <c r="P391" i="45"/>
  <c r="K391" i="45"/>
  <c r="O391" i="45" s="1"/>
  <c r="AH390" i="45"/>
  <c r="AG390" i="45"/>
  <c r="AF390" i="45"/>
  <c r="Z390" i="45"/>
  <c r="AD390" i="45" s="1"/>
  <c r="AE390" i="45" s="1"/>
  <c r="P390" i="45"/>
  <c r="K390" i="45"/>
  <c r="O390" i="45" s="1"/>
  <c r="AH389" i="45"/>
  <c r="AG389" i="45"/>
  <c r="AF389" i="45"/>
  <c r="Z389" i="45"/>
  <c r="AD389" i="45" s="1"/>
  <c r="AE389" i="45" s="1"/>
  <c r="P389" i="45"/>
  <c r="K389" i="45"/>
  <c r="O389" i="45" s="1"/>
  <c r="AH388" i="45"/>
  <c r="AG388" i="45"/>
  <c r="AF388" i="45"/>
  <c r="Z388" i="45"/>
  <c r="AD388" i="45" s="1"/>
  <c r="AE388" i="45" s="1"/>
  <c r="P388" i="45"/>
  <c r="K388" i="45"/>
  <c r="O388" i="45" s="1"/>
  <c r="AH387" i="45"/>
  <c r="AG387" i="45"/>
  <c r="AF387" i="45"/>
  <c r="Z387" i="45"/>
  <c r="P387" i="45"/>
  <c r="K387" i="45"/>
  <c r="O387" i="45" s="1"/>
  <c r="K386" i="45"/>
  <c r="I144" i="32"/>
  <c r="H144" i="32"/>
  <c r="G144" i="32"/>
  <c r="F144" i="32"/>
  <c r="E144" i="32"/>
  <c r="D144" i="32"/>
  <c r="C144" i="32"/>
  <c r="B144" i="32"/>
  <c r="T290" i="60"/>
  <c r="S290" i="60"/>
  <c r="R290" i="60"/>
  <c r="Q290" i="60"/>
  <c r="P290" i="60"/>
  <c r="O290" i="60"/>
  <c r="N290" i="60"/>
  <c r="I290" i="60"/>
  <c r="H290" i="60"/>
  <c r="G290" i="60"/>
  <c r="F290" i="60"/>
  <c r="E290" i="60"/>
  <c r="D290" i="60"/>
  <c r="C290" i="60"/>
  <c r="V283" i="60"/>
  <c r="K283" i="60"/>
  <c r="W282" i="60"/>
  <c r="M282" i="60"/>
  <c r="V282" i="60" s="1"/>
  <c r="L282" i="60"/>
  <c r="L290" i="60" s="1"/>
  <c r="B282" i="60"/>
  <c r="B290" i="60" s="1"/>
  <c r="V275" i="60"/>
  <c r="K275" i="60"/>
  <c r="W274" i="60"/>
  <c r="M274" i="60"/>
  <c r="V274" i="60" s="1"/>
  <c r="L274" i="60"/>
  <c r="B274" i="60"/>
  <c r="K274" i="60" s="1"/>
  <c r="V267" i="60"/>
  <c r="K267" i="60"/>
  <c r="W266" i="60"/>
  <c r="V266" i="60"/>
  <c r="M266" i="60"/>
  <c r="L266" i="60"/>
  <c r="B266" i="60"/>
  <c r="K266" i="60" s="1"/>
  <c r="V265" i="60"/>
  <c r="K265" i="60"/>
  <c r="V264" i="60"/>
  <c r="K264" i="60"/>
  <c r="V263" i="60"/>
  <c r="K263" i="60"/>
  <c r="V262" i="60"/>
  <c r="K262" i="60"/>
  <c r="V261" i="60"/>
  <c r="K261" i="60"/>
  <c r="V260" i="60"/>
  <c r="K260" i="60"/>
  <c r="V259" i="60"/>
  <c r="K259" i="60"/>
  <c r="V258" i="60"/>
  <c r="K258" i="60"/>
  <c r="W257" i="60"/>
  <c r="M257" i="60"/>
  <c r="V257" i="60" s="1"/>
  <c r="L257" i="60"/>
  <c r="B257" i="60"/>
  <c r="K257" i="60" s="1"/>
  <c r="W290" i="60" l="1"/>
  <c r="M290" i="60"/>
  <c r="K494" i="45"/>
  <c r="P494" i="45"/>
  <c r="Z494" i="45"/>
  <c r="O494" i="45"/>
  <c r="AD387" i="45"/>
  <c r="AF494" i="45"/>
  <c r="AG494" i="45"/>
  <c r="AH494" i="45"/>
  <c r="V290" i="60"/>
  <c r="K282" i="60"/>
  <c r="K290" i="60" s="1"/>
  <c r="AD494" i="45" l="1"/>
  <c r="AE387" i="45"/>
  <c r="AE494" i="45" s="1"/>
  <c r="P484" i="53" l="1"/>
  <c r="M484" i="53"/>
  <c r="P483" i="53"/>
  <c r="M483" i="53"/>
  <c r="P482" i="53"/>
  <c r="M482" i="53"/>
  <c r="P481" i="53"/>
  <c r="M481" i="53"/>
  <c r="P480" i="53"/>
  <c r="M480" i="53"/>
  <c r="P479" i="53"/>
  <c r="M479" i="53"/>
  <c r="P478" i="53"/>
  <c r="M478" i="53"/>
  <c r="P477" i="53"/>
  <c r="M477" i="53"/>
  <c r="P476" i="53"/>
  <c r="M476" i="53"/>
  <c r="P475" i="53"/>
  <c r="M475" i="53"/>
  <c r="P474" i="53"/>
  <c r="M474" i="53"/>
  <c r="P473" i="53"/>
  <c r="M473" i="53"/>
  <c r="P472" i="53"/>
  <c r="M472" i="53"/>
  <c r="P471" i="53"/>
  <c r="M471" i="53"/>
  <c r="P470" i="53"/>
  <c r="M470" i="53"/>
  <c r="P469" i="53"/>
  <c r="M469" i="53"/>
  <c r="P468" i="53"/>
  <c r="M468" i="53"/>
  <c r="P467" i="53"/>
  <c r="M467" i="53"/>
  <c r="P466" i="53"/>
  <c r="P465" i="53"/>
  <c r="M465" i="53"/>
  <c r="P464" i="53"/>
  <c r="M464" i="53"/>
  <c r="P463" i="53"/>
  <c r="M463" i="53"/>
  <c r="P462" i="53"/>
  <c r="M462" i="53"/>
  <c r="P461" i="53"/>
  <c r="M461" i="53"/>
  <c r="P460" i="53"/>
  <c r="M460" i="53"/>
  <c r="P459" i="53"/>
  <c r="M459" i="53"/>
  <c r="P458" i="53"/>
  <c r="M458" i="53"/>
  <c r="P457" i="53"/>
  <c r="M457" i="53"/>
  <c r="P456" i="53"/>
  <c r="M456" i="53"/>
  <c r="P455" i="53"/>
  <c r="M455" i="53"/>
  <c r="P454" i="53"/>
  <c r="M454" i="53"/>
  <c r="P453" i="53"/>
  <c r="M453" i="53"/>
  <c r="P452" i="53"/>
  <c r="M452" i="53"/>
  <c r="P451" i="53"/>
  <c r="M451" i="53"/>
  <c r="P450" i="53"/>
  <c r="M450" i="53"/>
  <c r="P449" i="53"/>
  <c r="M449" i="53"/>
  <c r="P448" i="53"/>
  <c r="M448" i="53"/>
  <c r="P447" i="53"/>
  <c r="M447" i="53"/>
  <c r="P446" i="53"/>
  <c r="M446" i="53"/>
  <c r="P445" i="53"/>
  <c r="M445" i="53"/>
  <c r="P444" i="53"/>
  <c r="M444" i="53"/>
  <c r="P443" i="53"/>
  <c r="M443" i="53"/>
  <c r="P442" i="53"/>
  <c r="M442" i="53"/>
  <c r="P441" i="53"/>
  <c r="M441" i="53"/>
  <c r="P440" i="53"/>
  <c r="M440" i="53"/>
  <c r="P439" i="53"/>
  <c r="M439" i="53"/>
  <c r="P438" i="53"/>
  <c r="M438" i="53"/>
  <c r="P437" i="53"/>
  <c r="M437" i="53"/>
  <c r="P436" i="53"/>
  <c r="M436" i="53"/>
  <c r="P435" i="53"/>
  <c r="M435" i="53"/>
  <c r="P434" i="53"/>
  <c r="M434" i="53"/>
  <c r="P433" i="53"/>
  <c r="M433" i="53"/>
  <c r="P432" i="53"/>
  <c r="M432" i="53"/>
  <c r="P431" i="53"/>
  <c r="M431" i="53"/>
  <c r="P430" i="53"/>
  <c r="M430" i="53"/>
  <c r="P429" i="53"/>
  <c r="M429" i="53"/>
  <c r="P428" i="53"/>
  <c r="P427" i="53"/>
  <c r="M427" i="53"/>
  <c r="P426" i="53"/>
  <c r="M426" i="53"/>
  <c r="P425" i="53"/>
  <c r="M425" i="53"/>
  <c r="P424" i="53"/>
  <c r="M424" i="53"/>
  <c r="P423" i="53"/>
  <c r="M423" i="53"/>
  <c r="P422" i="53"/>
  <c r="P421" i="53"/>
  <c r="P420" i="53"/>
  <c r="M420" i="53"/>
  <c r="P419" i="53"/>
  <c r="M419" i="53"/>
  <c r="P418" i="53"/>
  <c r="M418" i="53"/>
  <c r="P417" i="53"/>
  <c r="M417" i="53"/>
  <c r="P416" i="53"/>
  <c r="M416" i="53"/>
  <c r="P415" i="53"/>
  <c r="P414" i="53"/>
  <c r="M414" i="53"/>
  <c r="P413" i="53"/>
  <c r="M413" i="53"/>
  <c r="P412" i="53"/>
  <c r="M412" i="53"/>
  <c r="P411" i="53"/>
  <c r="M411" i="53"/>
  <c r="P410" i="53"/>
  <c r="M410" i="53"/>
  <c r="P409" i="53"/>
  <c r="M409" i="53"/>
  <c r="P408" i="53"/>
  <c r="M408" i="53"/>
  <c r="P407" i="53"/>
  <c r="M407" i="53"/>
  <c r="P406" i="53"/>
  <c r="M406" i="53"/>
  <c r="P405" i="53"/>
  <c r="M405" i="53"/>
  <c r="P404" i="53"/>
  <c r="M404" i="53"/>
  <c r="P403" i="53"/>
  <c r="M403" i="53"/>
  <c r="P402" i="53"/>
  <c r="M402" i="53"/>
  <c r="P401" i="53"/>
  <c r="P400" i="53"/>
  <c r="M400" i="53"/>
  <c r="P399" i="53"/>
  <c r="M399" i="53"/>
  <c r="P398" i="53"/>
  <c r="M398" i="53"/>
  <c r="P397" i="53"/>
  <c r="M397" i="53"/>
  <c r="P396" i="53"/>
  <c r="M396" i="53"/>
  <c r="P395" i="53"/>
  <c r="M395" i="53"/>
  <c r="P394" i="53"/>
  <c r="P393" i="53"/>
  <c r="M393" i="53"/>
  <c r="P392" i="53"/>
  <c r="M392" i="53"/>
  <c r="P391" i="53"/>
  <c r="M391" i="53"/>
  <c r="P390" i="53"/>
  <c r="M390" i="53"/>
  <c r="P389" i="53"/>
  <c r="M389" i="53"/>
  <c r="P388" i="53"/>
  <c r="M388" i="53"/>
  <c r="P387" i="53"/>
  <c r="M387" i="53"/>
  <c r="P386" i="53"/>
  <c r="M386" i="53"/>
  <c r="P385" i="53"/>
  <c r="M385" i="53"/>
  <c r="P384" i="53"/>
  <c r="M384" i="53"/>
  <c r="P383" i="53"/>
  <c r="M383" i="53"/>
  <c r="P382" i="53"/>
  <c r="M382" i="53"/>
  <c r="P381" i="53"/>
  <c r="M381" i="53"/>
  <c r="P380" i="53"/>
  <c r="M380" i="53"/>
  <c r="P379" i="53"/>
  <c r="M379" i="53"/>
  <c r="P378" i="53"/>
  <c r="M378" i="53"/>
  <c r="P377" i="53"/>
  <c r="P376" i="53"/>
  <c r="M376" i="53"/>
  <c r="P375" i="53"/>
  <c r="M375" i="53"/>
  <c r="P374" i="53"/>
  <c r="M374" i="53"/>
  <c r="P373" i="53"/>
  <c r="M373" i="53"/>
  <c r="P372" i="53"/>
  <c r="M372" i="53"/>
  <c r="P371" i="53"/>
  <c r="M371" i="53"/>
  <c r="P370" i="53"/>
  <c r="M370" i="53"/>
  <c r="P369" i="53"/>
  <c r="P368" i="53"/>
  <c r="M368" i="53"/>
  <c r="P367" i="53"/>
  <c r="M367" i="53"/>
  <c r="P366" i="53"/>
  <c r="P365" i="53"/>
  <c r="M365" i="53"/>
  <c r="P364" i="53"/>
  <c r="M364" i="53"/>
  <c r="P363" i="53"/>
  <c r="M363" i="53"/>
  <c r="P362" i="53"/>
  <c r="M362" i="53"/>
  <c r="P361" i="53"/>
  <c r="M361" i="53"/>
  <c r="P360" i="53"/>
  <c r="M360" i="53"/>
  <c r="P359" i="53"/>
  <c r="M359" i="53"/>
  <c r="P358" i="53"/>
  <c r="M358" i="53"/>
  <c r="P357" i="53"/>
  <c r="M357" i="53"/>
  <c r="P356" i="53"/>
  <c r="M356" i="53"/>
  <c r="P355" i="53"/>
  <c r="M355" i="53"/>
  <c r="P354" i="53"/>
  <c r="M354" i="53"/>
  <c r="P353" i="53"/>
  <c r="M353" i="53"/>
  <c r="P352" i="53"/>
  <c r="M352" i="53"/>
  <c r="P351" i="53"/>
  <c r="M351" i="53"/>
  <c r="P350" i="53"/>
  <c r="M350" i="53"/>
  <c r="P349" i="53"/>
  <c r="M349" i="53"/>
  <c r="P348" i="53"/>
  <c r="M348" i="53"/>
  <c r="P347" i="53"/>
  <c r="M347" i="53"/>
  <c r="P346" i="53"/>
  <c r="P345" i="53"/>
  <c r="M345" i="53"/>
  <c r="P344" i="53"/>
  <c r="M344" i="53"/>
  <c r="P343" i="53"/>
  <c r="M343" i="53"/>
  <c r="P342" i="53"/>
  <c r="M342" i="53"/>
  <c r="P341" i="53"/>
  <c r="M341" i="53"/>
  <c r="P340" i="53"/>
  <c r="M340" i="53"/>
  <c r="P339" i="53"/>
  <c r="M339" i="53"/>
  <c r="P338" i="53"/>
  <c r="M338" i="53"/>
  <c r="P337" i="53"/>
  <c r="P336" i="53"/>
  <c r="M336" i="53"/>
  <c r="P335" i="53"/>
  <c r="M335" i="53"/>
  <c r="P334" i="53"/>
  <c r="M334" i="53"/>
  <c r="P333" i="53"/>
  <c r="M333" i="53"/>
  <c r="P332" i="53"/>
  <c r="M332" i="53"/>
  <c r="P331" i="53"/>
  <c r="M331" i="53"/>
  <c r="P330" i="53"/>
  <c r="M330" i="53"/>
  <c r="P329" i="53"/>
  <c r="M329" i="53"/>
  <c r="P328" i="53"/>
  <c r="M328" i="53"/>
  <c r="P327" i="53"/>
  <c r="M327" i="53"/>
  <c r="P326" i="53"/>
  <c r="M326" i="53"/>
  <c r="P325" i="53"/>
  <c r="M325" i="53"/>
  <c r="P324" i="53"/>
  <c r="M324" i="53"/>
  <c r="P323" i="53"/>
  <c r="M323" i="53"/>
  <c r="P322" i="53"/>
  <c r="M322" i="53"/>
  <c r="P321" i="53"/>
  <c r="M321" i="53"/>
  <c r="P320" i="53"/>
  <c r="M320" i="53"/>
  <c r="P319" i="53"/>
  <c r="P318" i="53"/>
  <c r="M318" i="53"/>
  <c r="P317" i="53"/>
  <c r="M317" i="53"/>
  <c r="P316" i="53"/>
  <c r="M316" i="53"/>
  <c r="P315" i="53"/>
  <c r="M315" i="53"/>
  <c r="P314" i="53"/>
  <c r="M314" i="53"/>
  <c r="P313" i="53"/>
  <c r="M313" i="53"/>
  <c r="P312" i="53"/>
  <c r="M312" i="53"/>
  <c r="P311" i="53"/>
  <c r="M311" i="53"/>
  <c r="P310" i="53"/>
  <c r="M310" i="53"/>
  <c r="P309" i="53"/>
  <c r="M309" i="53"/>
  <c r="P308" i="53"/>
  <c r="M308" i="53"/>
  <c r="P307" i="53"/>
  <c r="M307" i="53"/>
  <c r="P306" i="53"/>
  <c r="M306" i="53"/>
  <c r="P305" i="53"/>
  <c r="M305" i="53"/>
  <c r="P304" i="53"/>
  <c r="M304" i="53"/>
  <c r="P303" i="53"/>
  <c r="M303" i="53"/>
  <c r="P302" i="53"/>
  <c r="M302" i="53"/>
  <c r="P301" i="53"/>
  <c r="M301" i="53"/>
  <c r="P300" i="53"/>
  <c r="M300" i="53"/>
  <c r="P299" i="53"/>
  <c r="M299" i="53"/>
  <c r="P298" i="53"/>
  <c r="M298" i="53"/>
  <c r="P297" i="53"/>
  <c r="M297" i="53"/>
  <c r="P296" i="53"/>
  <c r="M296" i="53"/>
  <c r="P295" i="53"/>
  <c r="M295" i="53"/>
  <c r="P294" i="53"/>
  <c r="M294" i="53"/>
  <c r="P293" i="53"/>
  <c r="M293" i="53"/>
  <c r="P292" i="53"/>
  <c r="M292" i="53"/>
  <c r="P291" i="53"/>
  <c r="M291" i="53"/>
  <c r="P290" i="53"/>
  <c r="M290" i="53"/>
  <c r="P289" i="53"/>
  <c r="M289" i="53"/>
  <c r="P288" i="53"/>
  <c r="M288" i="53"/>
  <c r="P287" i="53"/>
  <c r="M287" i="53"/>
  <c r="P286" i="53"/>
  <c r="M286" i="53"/>
  <c r="P285" i="53"/>
  <c r="M285" i="53"/>
  <c r="P284" i="53"/>
  <c r="M284" i="53"/>
  <c r="P283" i="53"/>
  <c r="M283" i="53"/>
  <c r="H82" i="79" l="1"/>
  <c r="G82" i="79"/>
  <c r="AH357" i="45"/>
  <c r="AC357" i="45"/>
  <c r="AB357" i="45"/>
  <c r="AA357" i="45"/>
  <c r="Q357" i="45"/>
  <c r="Z355" i="45"/>
  <c r="AD355" i="45" s="1"/>
  <c r="AI355" i="45" s="1"/>
  <c r="N355" i="45"/>
  <c r="K355" i="45"/>
  <c r="Z354" i="45"/>
  <c r="AD354" i="45" s="1"/>
  <c r="AE354" i="45" s="1"/>
  <c r="AG354" i="45" s="1"/>
  <c r="N354" i="45"/>
  <c r="K354" i="45"/>
  <c r="O354" i="45" s="1"/>
  <c r="P354" i="45" s="1"/>
  <c r="Z353" i="45"/>
  <c r="AD353" i="45" s="1"/>
  <c r="N353" i="45"/>
  <c r="K353" i="45"/>
  <c r="Z352" i="45"/>
  <c r="AD352" i="45" s="1"/>
  <c r="N352" i="45"/>
  <c r="K352" i="45"/>
  <c r="Z351" i="45"/>
  <c r="AD351" i="45" s="1"/>
  <c r="N351" i="45"/>
  <c r="K351" i="45"/>
  <c r="O351" i="45" s="1"/>
  <c r="P351" i="45" s="1"/>
  <c r="AI350" i="45"/>
  <c r="AE350" i="45"/>
  <c r="Z350" i="45"/>
  <c r="AD350" i="45" s="1"/>
  <c r="N350" i="45"/>
  <c r="K350" i="45"/>
  <c r="O350" i="45" s="1"/>
  <c r="P350" i="45" s="1"/>
  <c r="AG350" i="45" s="1"/>
  <c r="Z349" i="45"/>
  <c r="AD349" i="45" s="1"/>
  <c r="N349" i="45"/>
  <c r="K349" i="45"/>
  <c r="Z348" i="45"/>
  <c r="AD348" i="45" s="1"/>
  <c r="N348" i="45"/>
  <c r="K348" i="45"/>
  <c r="C347" i="45"/>
  <c r="B347" i="45"/>
  <c r="Z346" i="45"/>
  <c r="AD346" i="45" s="1"/>
  <c r="N346" i="45"/>
  <c r="K346" i="45"/>
  <c r="O346" i="45" s="1"/>
  <c r="P346" i="45" s="1"/>
  <c r="Z345" i="45"/>
  <c r="AD345" i="45" s="1"/>
  <c r="AI345" i="45" s="1"/>
  <c r="N345" i="45"/>
  <c r="K345" i="45"/>
  <c r="Z344" i="45"/>
  <c r="AD344" i="45" s="1"/>
  <c r="AI344" i="45" s="1"/>
  <c r="N344" i="45"/>
  <c r="K344" i="45"/>
  <c r="Z343" i="45"/>
  <c r="AD343" i="45" s="1"/>
  <c r="O343" i="45"/>
  <c r="P343" i="45" s="1"/>
  <c r="N343" i="45"/>
  <c r="K343" i="45"/>
  <c r="Z342" i="45"/>
  <c r="AD342" i="45" s="1"/>
  <c r="N342" i="45"/>
  <c r="O342" i="45" s="1"/>
  <c r="P342" i="45" s="1"/>
  <c r="K342" i="45"/>
  <c r="C341" i="45"/>
  <c r="B341" i="45"/>
  <c r="Z340" i="45"/>
  <c r="AD340" i="45" s="1"/>
  <c r="AI340" i="45" s="1"/>
  <c r="O340" i="45"/>
  <c r="P340" i="45" s="1"/>
  <c r="N340" i="45"/>
  <c r="K340" i="45"/>
  <c r="Z339" i="45"/>
  <c r="AD339" i="45" s="1"/>
  <c r="AE339" i="45" s="1"/>
  <c r="N339" i="45"/>
  <c r="K339" i="45"/>
  <c r="Z338" i="45"/>
  <c r="AD338" i="45" s="1"/>
  <c r="N338" i="45"/>
  <c r="K338" i="45"/>
  <c r="Z337" i="45"/>
  <c r="AD337" i="45" s="1"/>
  <c r="AI337" i="45" s="1"/>
  <c r="N337" i="45"/>
  <c r="K337" i="45"/>
  <c r="Z336" i="45"/>
  <c r="AD336" i="45" s="1"/>
  <c r="AI336" i="45" s="1"/>
  <c r="N336" i="45"/>
  <c r="K336" i="45"/>
  <c r="O336" i="45" s="1"/>
  <c r="C335" i="45"/>
  <c r="B335" i="45"/>
  <c r="AE334" i="45"/>
  <c r="Z334" i="45"/>
  <c r="AD334" i="45" s="1"/>
  <c r="AI334" i="45" s="1"/>
  <c r="N334" i="45"/>
  <c r="K334" i="45"/>
  <c r="Z333" i="45"/>
  <c r="AD333" i="45" s="1"/>
  <c r="N333" i="45"/>
  <c r="K333" i="45"/>
  <c r="Z332" i="45"/>
  <c r="AD332" i="45" s="1"/>
  <c r="N332" i="45"/>
  <c r="K332" i="45"/>
  <c r="Z331" i="45"/>
  <c r="AD331" i="45" s="1"/>
  <c r="N331" i="45"/>
  <c r="K331" i="45"/>
  <c r="O331" i="45" s="1"/>
  <c r="P331" i="45" s="1"/>
  <c r="Z330" i="45"/>
  <c r="AD330" i="45" s="1"/>
  <c r="N330" i="45"/>
  <c r="K330" i="45"/>
  <c r="C329" i="45"/>
  <c r="B329" i="45"/>
  <c r="Z328" i="45"/>
  <c r="AD328" i="45" s="1"/>
  <c r="N328" i="45"/>
  <c r="K328" i="45"/>
  <c r="Z327" i="45"/>
  <c r="AD327" i="45" s="1"/>
  <c r="AI327" i="45" s="1"/>
  <c r="N327" i="45"/>
  <c r="K327" i="45"/>
  <c r="Z326" i="45"/>
  <c r="AD326" i="45" s="1"/>
  <c r="AE326" i="45" s="1"/>
  <c r="N326" i="45"/>
  <c r="K326" i="45"/>
  <c r="Z325" i="45"/>
  <c r="AD325" i="45" s="1"/>
  <c r="N325" i="45"/>
  <c r="K325" i="45"/>
  <c r="O325" i="45" s="1"/>
  <c r="P325" i="45" s="1"/>
  <c r="Z324" i="45"/>
  <c r="AD324" i="45" s="1"/>
  <c r="N324" i="45"/>
  <c r="K324" i="45"/>
  <c r="O324" i="45" s="1"/>
  <c r="P324" i="45" s="1"/>
  <c r="C323" i="45"/>
  <c r="B323" i="45"/>
  <c r="AI322" i="45"/>
  <c r="Z321" i="45"/>
  <c r="AD321" i="45" s="1"/>
  <c r="N321" i="45"/>
  <c r="K321" i="45"/>
  <c r="Z320" i="45"/>
  <c r="AD320" i="45" s="1"/>
  <c r="N320" i="45"/>
  <c r="K320" i="45"/>
  <c r="AD319" i="45"/>
  <c r="AE319" i="45" s="1"/>
  <c r="Z319" i="45"/>
  <c r="N319" i="45"/>
  <c r="K319" i="45"/>
  <c r="Z318" i="45"/>
  <c r="AD318" i="45" s="1"/>
  <c r="N318" i="45"/>
  <c r="K318" i="45"/>
  <c r="Z317" i="45"/>
  <c r="AD317" i="45" s="1"/>
  <c r="AI317" i="45" s="1"/>
  <c r="N317" i="45"/>
  <c r="K317" i="45"/>
  <c r="C316" i="45"/>
  <c r="B316" i="45"/>
  <c r="AI315" i="45"/>
  <c r="AG315" i="45"/>
  <c r="AF315" i="45"/>
  <c r="Z314" i="45"/>
  <c r="AD314" i="45" s="1"/>
  <c r="O314" i="45"/>
  <c r="P314" i="45" s="1"/>
  <c r="N314" i="45"/>
  <c r="K314" i="45"/>
  <c r="Z313" i="45"/>
  <c r="AD313" i="45" s="1"/>
  <c r="AI313" i="45" s="1"/>
  <c r="N313" i="45"/>
  <c r="K313" i="45"/>
  <c r="O313" i="45" s="1"/>
  <c r="P313" i="45" s="1"/>
  <c r="Z312" i="45"/>
  <c r="AD312" i="45" s="1"/>
  <c r="AI312" i="45" s="1"/>
  <c r="N312" i="45"/>
  <c r="K312" i="45"/>
  <c r="Z311" i="45"/>
  <c r="AD311" i="45" s="1"/>
  <c r="AE311" i="45" s="1"/>
  <c r="O311" i="45"/>
  <c r="P311" i="45" s="1"/>
  <c r="N311" i="45"/>
  <c r="K311" i="45"/>
  <c r="Z310" i="45"/>
  <c r="AD310" i="45" s="1"/>
  <c r="AI310" i="45" s="1"/>
  <c r="O310" i="45"/>
  <c r="P310" i="45" s="1"/>
  <c r="N310" i="45"/>
  <c r="K310" i="45"/>
  <c r="AI309" i="45"/>
  <c r="C308" i="45"/>
  <c r="B308" i="45"/>
  <c r="Z307" i="45"/>
  <c r="AD307" i="45" s="1"/>
  <c r="AE307" i="45" s="1"/>
  <c r="N307" i="45"/>
  <c r="K307" i="45"/>
  <c r="Z306" i="45"/>
  <c r="AD306" i="45" s="1"/>
  <c r="AE306" i="45" s="1"/>
  <c r="N306" i="45"/>
  <c r="K306" i="45"/>
  <c r="O306" i="45" s="1"/>
  <c r="Z305" i="45"/>
  <c r="AD305" i="45" s="1"/>
  <c r="N305" i="45"/>
  <c r="K305" i="45"/>
  <c r="Z304" i="45"/>
  <c r="AD304" i="45" s="1"/>
  <c r="AE304" i="45" s="1"/>
  <c r="P304" i="45"/>
  <c r="N304" i="45"/>
  <c r="K304" i="45"/>
  <c r="O304" i="45" s="1"/>
  <c r="Z303" i="45"/>
  <c r="AD303" i="45" s="1"/>
  <c r="N303" i="45"/>
  <c r="K303" i="45"/>
  <c r="Z302" i="45"/>
  <c r="AD302" i="45" s="1"/>
  <c r="N302" i="45"/>
  <c r="K302" i="45"/>
  <c r="O302" i="45" s="1"/>
  <c r="C301" i="45"/>
  <c r="B301" i="45"/>
  <c r="Z300" i="45"/>
  <c r="AD300" i="45" s="1"/>
  <c r="N300" i="45"/>
  <c r="K300" i="45"/>
  <c r="O300" i="45" s="1"/>
  <c r="P300" i="45" s="1"/>
  <c r="AD299" i="45"/>
  <c r="AE299" i="45" s="1"/>
  <c r="Z299" i="45"/>
  <c r="N299" i="45"/>
  <c r="K299" i="45"/>
  <c r="AD298" i="45"/>
  <c r="AE298" i="45" s="1"/>
  <c r="L298" i="45"/>
  <c r="N298" i="45" s="1"/>
  <c r="O298" i="45" s="1"/>
  <c r="K298" i="45"/>
  <c r="AD297" i="45"/>
  <c r="AI297" i="45" s="1"/>
  <c r="K297" i="45"/>
  <c r="L297" i="45" s="1"/>
  <c r="N297" i="45" s="1"/>
  <c r="AD296" i="45"/>
  <c r="K296" i="45"/>
  <c r="L296" i="45" s="1"/>
  <c r="N296" i="45" s="1"/>
  <c r="O296" i="45" s="1"/>
  <c r="AD295" i="45"/>
  <c r="AE295" i="45" s="1"/>
  <c r="K295" i="45"/>
  <c r="M294" i="45"/>
  <c r="H294" i="45"/>
  <c r="G294" i="45"/>
  <c r="F294" i="45"/>
  <c r="E294" i="45"/>
  <c r="D294" i="45"/>
  <c r="C294" i="45"/>
  <c r="B294" i="45"/>
  <c r="AI293" i="45"/>
  <c r="Z292" i="45"/>
  <c r="AD292" i="45" s="1"/>
  <c r="N292" i="45"/>
  <c r="K292" i="45"/>
  <c r="O292" i="45" s="1"/>
  <c r="P292" i="45" s="1"/>
  <c r="Z291" i="45"/>
  <c r="AD291" i="45" s="1"/>
  <c r="AI291" i="45" s="1"/>
  <c r="N291" i="45"/>
  <c r="K291" i="45"/>
  <c r="Z290" i="45"/>
  <c r="AD290" i="45" s="1"/>
  <c r="AE290" i="45" s="1"/>
  <c r="N290" i="45"/>
  <c r="K290" i="45"/>
  <c r="Z289" i="45"/>
  <c r="AD289" i="45" s="1"/>
  <c r="AI289" i="45" s="1"/>
  <c r="N289" i="45"/>
  <c r="K289" i="45"/>
  <c r="O289" i="45" s="1"/>
  <c r="P289" i="45" s="1"/>
  <c r="Z288" i="45"/>
  <c r="AD288" i="45" s="1"/>
  <c r="AI288" i="45" s="1"/>
  <c r="N288" i="45"/>
  <c r="K288" i="45"/>
  <c r="Z287" i="45"/>
  <c r="AD287" i="45" s="1"/>
  <c r="N287" i="45"/>
  <c r="K287" i="45"/>
  <c r="M286" i="45"/>
  <c r="J286" i="45"/>
  <c r="D286" i="45"/>
  <c r="C286" i="45"/>
  <c r="B286" i="45"/>
  <c r="Z285" i="45"/>
  <c r="AD285" i="45" s="1"/>
  <c r="N285" i="45"/>
  <c r="K285" i="45"/>
  <c r="Z284" i="45"/>
  <c r="AD284" i="45" s="1"/>
  <c r="N284" i="45"/>
  <c r="K284" i="45"/>
  <c r="Z283" i="45"/>
  <c r="AD283" i="45" s="1"/>
  <c r="N283" i="45"/>
  <c r="K283" i="45"/>
  <c r="Z282" i="45"/>
  <c r="AD282" i="45" s="1"/>
  <c r="AE282" i="45" s="1"/>
  <c r="N282" i="45"/>
  <c r="K282" i="45"/>
  <c r="AD281" i="45"/>
  <c r="AE281" i="45" s="1"/>
  <c r="Z281" i="45"/>
  <c r="N281" i="45"/>
  <c r="K281" i="45"/>
  <c r="Z280" i="45"/>
  <c r="AD280" i="45" s="1"/>
  <c r="N280" i="45"/>
  <c r="K280" i="45"/>
  <c r="M279" i="45"/>
  <c r="J279" i="45"/>
  <c r="D279" i="45"/>
  <c r="C279" i="45"/>
  <c r="B279" i="45"/>
  <c r="Z278" i="45"/>
  <c r="AD278" i="45" s="1"/>
  <c r="AI278" i="45" s="1"/>
  <c r="N278" i="45"/>
  <c r="K278" i="45"/>
  <c r="Z277" i="45"/>
  <c r="AD277" i="45" s="1"/>
  <c r="AI277" i="45" s="1"/>
  <c r="N277" i="45"/>
  <c r="K277" i="45"/>
  <c r="Z276" i="45"/>
  <c r="AD276" i="45" s="1"/>
  <c r="N276" i="45"/>
  <c r="K276" i="45"/>
  <c r="Z275" i="45"/>
  <c r="AD275" i="45" s="1"/>
  <c r="N275" i="45"/>
  <c r="K275" i="45"/>
  <c r="O275" i="45" s="1"/>
  <c r="P275" i="45" s="1"/>
  <c r="AF274" i="45"/>
  <c r="AD274" i="45"/>
  <c r="AI274" i="45" s="1"/>
  <c r="K274" i="45"/>
  <c r="L274" i="45" s="1"/>
  <c r="N274" i="45" s="1"/>
  <c r="AD273" i="45"/>
  <c r="AF273" i="45" s="1"/>
  <c r="K273" i="45"/>
  <c r="L273" i="45" s="1"/>
  <c r="M272" i="45"/>
  <c r="J272" i="45"/>
  <c r="D272" i="45"/>
  <c r="C272" i="45"/>
  <c r="B272" i="45"/>
  <c r="Z271" i="45"/>
  <c r="AD271" i="45" s="1"/>
  <c r="N271" i="45"/>
  <c r="K271" i="45"/>
  <c r="Z270" i="45"/>
  <c r="AD270" i="45" s="1"/>
  <c r="N270" i="45"/>
  <c r="O270" i="45" s="1"/>
  <c r="P270" i="45" s="1"/>
  <c r="K270" i="45"/>
  <c r="Z269" i="45"/>
  <c r="AD269" i="45" s="1"/>
  <c r="N269" i="45"/>
  <c r="K269" i="45"/>
  <c r="Z268" i="45"/>
  <c r="AD268" i="45" s="1"/>
  <c r="AI268" i="45" s="1"/>
  <c r="N268" i="45"/>
  <c r="K268" i="45"/>
  <c r="Z267" i="45"/>
  <c r="AD267" i="45" s="1"/>
  <c r="K267" i="45"/>
  <c r="Y266" i="45"/>
  <c r="Y357" i="45" s="1"/>
  <c r="X266" i="45"/>
  <c r="X357" i="45" s="1"/>
  <c r="W266" i="45"/>
  <c r="W357" i="45" s="1"/>
  <c r="V266" i="45"/>
  <c r="V357" i="45" s="1"/>
  <c r="U266" i="45"/>
  <c r="U357" i="45" s="1"/>
  <c r="T266" i="45"/>
  <c r="T357" i="45" s="1"/>
  <c r="S266" i="45"/>
  <c r="S357" i="45" s="1"/>
  <c r="R266" i="45"/>
  <c r="R357" i="45" s="1"/>
  <c r="M266" i="45"/>
  <c r="J266" i="45"/>
  <c r="I266" i="45"/>
  <c r="I357" i="45" s="1"/>
  <c r="H266" i="45"/>
  <c r="H357" i="45" s="1"/>
  <c r="G266" i="45"/>
  <c r="G357" i="45" s="1"/>
  <c r="F266" i="45"/>
  <c r="F357" i="45" s="1"/>
  <c r="E266" i="45"/>
  <c r="D266" i="45"/>
  <c r="C266" i="45"/>
  <c r="B266" i="45"/>
  <c r="G121" i="32"/>
  <c r="C121" i="32"/>
  <c r="I120" i="32"/>
  <c r="H120" i="32"/>
  <c r="E120" i="32"/>
  <c r="I119" i="32"/>
  <c r="H119" i="32"/>
  <c r="I117" i="32"/>
  <c r="H117" i="32"/>
  <c r="H113" i="32"/>
  <c r="E113" i="32"/>
  <c r="I113" i="32" s="1"/>
  <c r="H109" i="32"/>
  <c r="E109" i="32"/>
  <c r="I109" i="32" s="1"/>
  <c r="I104" i="32"/>
  <c r="H104" i="32"/>
  <c r="O243" i="60"/>
  <c r="O242" i="60" s="1"/>
  <c r="L243" i="60"/>
  <c r="L242" i="60" s="1"/>
  <c r="D243" i="60"/>
  <c r="D242" i="60" s="1"/>
  <c r="W242" i="60"/>
  <c r="W235" i="60"/>
  <c r="M235" i="60"/>
  <c r="L235" i="60"/>
  <c r="B235" i="60"/>
  <c r="W234" i="60"/>
  <c r="L234" i="60"/>
  <c r="W233" i="60"/>
  <c r="L233" i="60"/>
  <c r="W232" i="60"/>
  <c r="L232" i="60"/>
  <c r="W231" i="60"/>
  <c r="L231" i="60"/>
  <c r="W230" i="60"/>
  <c r="L230" i="60"/>
  <c r="W229" i="60"/>
  <c r="L229" i="60"/>
  <c r="M228" i="60"/>
  <c r="B228" i="60"/>
  <c r="W227" i="60"/>
  <c r="L227" i="60"/>
  <c r="W217" i="60"/>
  <c r="W203" i="60"/>
  <c r="W202" i="60"/>
  <c r="L202" i="60"/>
  <c r="L196" i="60"/>
  <c r="L192" i="60" s="1"/>
  <c r="M192" i="60"/>
  <c r="B192" i="60"/>
  <c r="W183" i="60"/>
  <c r="M183" i="60"/>
  <c r="L183" i="60"/>
  <c r="B183" i="60"/>
  <c r="N237" i="57"/>
  <c r="K237" i="57"/>
  <c r="H237" i="57"/>
  <c r="D237" i="57"/>
  <c r="N236" i="57"/>
  <c r="K236" i="57"/>
  <c r="H236" i="57"/>
  <c r="D236" i="57"/>
  <c r="N242" i="57"/>
  <c r="K242" i="57"/>
  <c r="H242" i="57"/>
  <c r="D242" i="57"/>
  <c r="AI302" i="45" l="1"/>
  <c r="AE302" i="45"/>
  <c r="O284" i="45"/>
  <c r="P284" i="45" s="1"/>
  <c r="O303" i="45"/>
  <c r="P303" i="45" s="1"/>
  <c r="O328" i="45"/>
  <c r="P328" i="45" s="1"/>
  <c r="O338" i="45"/>
  <c r="P338" i="45" s="1"/>
  <c r="O353" i="45"/>
  <c r="P353" i="45" s="1"/>
  <c r="B244" i="60"/>
  <c r="M244" i="60"/>
  <c r="O244" i="60"/>
  <c r="E121" i="32"/>
  <c r="O282" i="45"/>
  <c r="P282" i="45" s="1"/>
  <c r="AE291" i="45"/>
  <c r="AG291" i="45" s="1"/>
  <c r="O299" i="45"/>
  <c r="P299" i="45" s="1"/>
  <c r="AG299" i="45" s="1"/>
  <c r="AF307" i="45"/>
  <c r="AE312" i="45"/>
  <c r="AI307" i="45"/>
  <c r="AF331" i="45"/>
  <c r="O269" i="45"/>
  <c r="P269" i="45" s="1"/>
  <c r="O327" i="45"/>
  <c r="P327" i="45" s="1"/>
  <c r="O332" i="45"/>
  <c r="P332" i="45" s="1"/>
  <c r="O337" i="45"/>
  <c r="P337" i="45" s="1"/>
  <c r="L244" i="60"/>
  <c r="W192" i="60"/>
  <c r="W228" i="60"/>
  <c r="L228" i="60"/>
  <c r="N266" i="45"/>
  <c r="AE297" i="45"/>
  <c r="AG311" i="45"/>
  <c r="O352" i="45"/>
  <c r="P352" i="45" s="1"/>
  <c r="K357" i="45"/>
  <c r="AE274" i="45"/>
  <c r="AG274" i="45" s="1"/>
  <c r="O288" i="45"/>
  <c r="P288" i="45" s="1"/>
  <c r="O291" i="45"/>
  <c r="P291" i="45" s="1"/>
  <c r="O307" i="45"/>
  <c r="P307" i="45" s="1"/>
  <c r="O317" i="45"/>
  <c r="P317" i="45" s="1"/>
  <c r="AE327" i="45"/>
  <c r="AG327" i="45" s="1"/>
  <c r="O333" i="45"/>
  <c r="P333" i="45" s="1"/>
  <c r="O348" i="45"/>
  <c r="P348" i="45" s="1"/>
  <c r="O355" i="45"/>
  <c r="P355" i="45" s="1"/>
  <c r="AE303" i="45"/>
  <c r="AF303" i="45"/>
  <c r="AE284" i="45"/>
  <c r="AF284" i="45"/>
  <c r="AI300" i="45"/>
  <c r="AE300" i="45"/>
  <c r="AF288" i="45"/>
  <c r="P306" i="45"/>
  <c r="AF306" i="45"/>
  <c r="AE285" i="45"/>
  <c r="AI285" i="45"/>
  <c r="O276" i="45"/>
  <c r="P276" i="45" s="1"/>
  <c r="O278" i="45"/>
  <c r="O281" i="45"/>
  <c r="P281" i="45" s="1"/>
  <c r="O297" i="45"/>
  <c r="P297" i="45" s="1"/>
  <c r="O330" i="45"/>
  <c r="P330" i="45" s="1"/>
  <c r="O339" i="45"/>
  <c r="P339" i="45" s="1"/>
  <c r="AG339" i="45" s="1"/>
  <c r="O345" i="45"/>
  <c r="P345" i="45" s="1"/>
  <c r="O285" i="45"/>
  <c r="P285" i="45" s="1"/>
  <c r="AF291" i="45"/>
  <c r="AI295" i="45"/>
  <c r="AI298" i="45"/>
  <c r="AF304" i="45"/>
  <c r="AI306" i="45"/>
  <c r="AE336" i="45"/>
  <c r="AE340" i="45"/>
  <c r="AF342" i="45"/>
  <c r="AE355" i="45"/>
  <c r="AF302" i="45"/>
  <c r="AE310" i="45"/>
  <c r="AI342" i="45"/>
  <c r="O344" i="45"/>
  <c r="P344" i="45" s="1"/>
  <c r="AF355" i="45"/>
  <c r="O277" i="45"/>
  <c r="P277" i="45" s="1"/>
  <c r="L295" i="45"/>
  <c r="N295" i="45" s="1"/>
  <c r="O295" i="45" s="1"/>
  <c r="O312" i="45"/>
  <c r="AF312" i="45" s="1"/>
  <c r="B357" i="45"/>
  <c r="AI281" i="45"/>
  <c r="O287" i="45"/>
  <c r="P287" i="45" s="1"/>
  <c r="O290" i="45"/>
  <c r="P290" i="45" s="1"/>
  <c r="O320" i="45"/>
  <c r="P320" i="45" s="1"/>
  <c r="O326" i="45"/>
  <c r="P326" i="45" s="1"/>
  <c r="AG326" i="45" s="1"/>
  <c r="O334" i="45"/>
  <c r="P334" i="45" s="1"/>
  <c r="AG334" i="45" s="1"/>
  <c r="AE344" i="45"/>
  <c r="O349" i="45"/>
  <c r="P349" i="45" s="1"/>
  <c r="AD357" i="45"/>
  <c r="AE267" i="45"/>
  <c r="AI267" i="45"/>
  <c r="AE270" i="45"/>
  <c r="AG270" i="45" s="1"/>
  <c r="AI270" i="45"/>
  <c r="AF270" i="45"/>
  <c r="AF296" i="45"/>
  <c r="P296" i="45"/>
  <c r="AI351" i="45"/>
  <c r="AF351" i="45"/>
  <c r="AE351" i="45"/>
  <c r="AG351" i="45" s="1"/>
  <c r="AF275" i="45"/>
  <c r="AI275" i="45"/>
  <c r="AE275" i="45"/>
  <c r="AG275" i="45" s="1"/>
  <c r="AE280" i="45"/>
  <c r="AI280" i="45"/>
  <c r="AE283" i="45"/>
  <c r="AI283" i="45"/>
  <c r="P298" i="45"/>
  <c r="AG298" i="45" s="1"/>
  <c r="AF298" i="45"/>
  <c r="AI287" i="45"/>
  <c r="AF287" i="45"/>
  <c r="AE287" i="45"/>
  <c r="AG287" i="45" s="1"/>
  <c r="N273" i="45"/>
  <c r="AI276" i="45"/>
  <c r="AE276" i="45"/>
  <c r="AG282" i="45"/>
  <c r="AG290" i="45"/>
  <c r="AI271" i="45"/>
  <c r="AI273" i="45"/>
  <c r="AI282" i="45"/>
  <c r="AI299" i="45"/>
  <c r="AG300" i="45"/>
  <c r="P302" i="45"/>
  <c r="AG302" i="45" s="1"/>
  <c r="AG310" i="45"/>
  <c r="AI314" i="45"/>
  <c r="AF314" i="45"/>
  <c r="AE318" i="45"/>
  <c r="AI318" i="45"/>
  <c r="AE320" i="45"/>
  <c r="AG320" i="45" s="1"/>
  <c r="AF320" i="45"/>
  <c r="AI333" i="45"/>
  <c r="AF333" i="45"/>
  <c r="P336" i="45"/>
  <c r="AF336" i="45"/>
  <c r="AI346" i="45"/>
  <c r="AF346" i="45"/>
  <c r="Z357" i="45"/>
  <c r="D357" i="45"/>
  <c r="J357" i="45"/>
  <c r="O267" i="45"/>
  <c r="AF267" i="45" s="1"/>
  <c r="AE268" i="45"/>
  <c r="AI269" i="45"/>
  <c r="AE277" i="45"/>
  <c r="AG277" i="45" s="1"/>
  <c r="AI284" i="45"/>
  <c r="AF285" i="45"/>
  <c r="AF300" i="45"/>
  <c r="AI303" i="45"/>
  <c r="AI304" i="45"/>
  <c r="AE305" i="45"/>
  <c r="AE314" i="45"/>
  <c r="AG314" i="45" s="1"/>
  <c r="AI319" i="45"/>
  <c r="AE321" i="45"/>
  <c r="AI321" i="45"/>
  <c r="AF332" i="45"/>
  <c r="AE332" i="45"/>
  <c r="AG332" i="45" s="1"/>
  <c r="AE333" i="45"/>
  <c r="AG333" i="45" s="1"/>
  <c r="AF334" i="45"/>
  <c r="AI338" i="45"/>
  <c r="AG340" i="45"/>
  <c r="AI343" i="45"/>
  <c r="AF343" i="45"/>
  <c r="AE346" i="45"/>
  <c r="AG346" i="45" s="1"/>
  <c r="E357" i="45"/>
  <c r="M357" i="45"/>
  <c r="O268" i="45"/>
  <c r="P268" i="45" s="1"/>
  <c r="AF277" i="45"/>
  <c r="AE278" i="45"/>
  <c r="AG281" i="45"/>
  <c r="AE288" i="45"/>
  <c r="AF289" i="45"/>
  <c r="AE289" i="45"/>
  <c r="AG289" i="45" s="1"/>
  <c r="AF297" i="45"/>
  <c r="AI305" i="45"/>
  <c r="AG306" i="45"/>
  <c r="AG307" i="45"/>
  <c r="O319" i="45"/>
  <c r="AI320" i="45"/>
  <c r="AI326" i="45"/>
  <c r="AF326" i="45"/>
  <c r="AI328" i="45"/>
  <c r="AF328" i="45"/>
  <c r="AE328" i="45"/>
  <c r="AG328" i="45" s="1"/>
  <c r="AI331" i="45"/>
  <c r="AE331" i="45"/>
  <c r="AG331" i="45" s="1"/>
  <c r="AI332" i="45"/>
  <c r="AG336" i="45"/>
  <c r="AE338" i="45"/>
  <c r="AG338" i="45" s="1"/>
  <c r="AE342" i="45"/>
  <c r="AG342" i="45" s="1"/>
  <c r="AE343" i="45"/>
  <c r="AG343" i="45" s="1"/>
  <c r="AI348" i="45"/>
  <c r="AF348" i="45"/>
  <c r="AE348" i="45"/>
  <c r="AG348" i="45" s="1"/>
  <c r="AI354" i="45"/>
  <c r="AF354" i="45"/>
  <c r="AG355" i="45"/>
  <c r="AI290" i="45"/>
  <c r="AF290" i="45"/>
  <c r="AE296" i="45"/>
  <c r="AG296" i="45" s="1"/>
  <c r="AI296" i="45"/>
  <c r="AG297" i="45"/>
  <c r="AF324" i="45"/>
  <c r="AE324" i="45"/>
  <c r="AG324" i="45" s="1"/>
  <c r="AI330" i="45"/>
  <c r="AF330" i="45"/>
  <c r="AE330" i="45"/>
  <c r="AG330" i="45" s="1"/>
  <c r="AF353" i="45"/>
  <c r="AE353" i="45"/>
  <c r="AG353" i="45" s="1"/>
  <c r="AF292" i="45"/>
  <c r="AI292" i="45"/>
  <c r="AI325" i="45"/>
  <c r="AF325" i="45"/>
  <c r="AI352" i="45"/>
  <c r="AE352" i="45"/>
  <c r="AG352" i="45" s="1"/>
  <c r="AI353" i="45"/>
  <c r="N357" i="45"/>
  <c r="AE269" i="45"/>
  <c r="AG269" i="45" s="1"/>
  <c r="AE271" i="45"/>
  <c r="AE273" i="45"/>
  <c r="AG273" i="45" s="1"/>
  <c r="AF282" i="45"/>
  <c r="O271" i="45"/>
  <c r="P271" i="45" s="1"/>
  <c r="AG284" i="45"/>
  <c r="AE292" i="45"/>
  <c r="AG292" i="45" s="1"/>
  <c r="AG303" i="45"/>
  <c r="AG304" i="45"/>
  <c r="AF310" i="45"/>
  <c r="AI311" i="45"/>
  <c r="AF311" i="45"/>
  <c r="AF313" i="45"/>
  <c r="AE313" i="45"/>
  <c r="AG313" i="45" s="1"/>
  <c r="AE317" i="45"/>
  <c r="AG317" i="45" s="1"/>
  <c r="AF317" i="45"/>
  <c r="AI324" i="45"/>
  <c r="AE325" i="45"/>
  <c r="AG325" i="45" s="1"/>
  <c r="AI339" i="45"/>
  <c r="AF339" i="45"/>
  <c r="AI349" i="45"/>
  <c r="AF349" i="45"/>
  <c r="AE349" i="45"/>
  <c r="AG349" i="45" s="1"/>
  <c r="AF352" i="45"/>
  <c r="AF345" i="45"/>
  <c r="C357" i="45"/>
  <c r="O280" i="45"/>
  <c r="P280" i="45" s="1"/>
  <c r="O283" i="45"/>
  <c r="P283" i="45" s="1"/>
  <c r="AE337" i="45"/>
  <c r="AE345" i="45"/>
  <c r="AG345" i="45" s="1"/>
  <c r="AF350" i="45"/>
  <c r="O305" i="45"/>
  <c r="P305" i="45" s="1"/>
  <c r="O318" i="45"/>
  <c r="P318" i="45" s="1"/>
  <c r="O321" i="45"/>
  <c r="P321" i="45" s="1"/>
  <c r="AF327" i="45"/>
  <c r="AF340" i="45"/>
  <c r="I121" i="32"/>
  <c r="W244" i="60"/>
  <c r="D244" i="60"/>
  <c r="AF337" i="45" l="1"/>
  <c r="AG288" i="45"/>
  <c r="AF276" i="45"/>
  <c r="AG276" i="45"/>
  <c r="AF299" i="45"/>
  <c r="AG344" i="45"/>
  <c r="AG337" i="45"/>
  <c r="AF338" i="45"/>
  <c r="L357" i="45"/>
  <c r="P312" i="45"/>
  <c r="AG312" i="45" s="1"/>
  <c r="AF269" i="45"/>
  <c r="P295" i="45"/>
  <c r="AG295" i="45" s="1"/>
  <c r="AF295" i="45"/>
  <c r="AG305" i="45"/>
  <c r="AF271" i="45"/>
  <c r="P278" i="45"/>
  <c r="AG278" i="45" s="1"/>
  <c r="AF278" i="45"/>
  <c r="AF281" i="45"/>
  <c r="AF344" i="45"/>
  <c r="AG285" i="45"/>
  <c r="AG321" i="45"/>
  <c r="AG268" i="45"/>
  <c r="AG280" i="45"/>
  <c r="AF321" i="45"/>
  <c r="O357" i="45"/>
  <c r="P267" i="45"/>
  <c r="AF268" i="45"/>
  <c r="AF283" i="45"/>
  <c r="AG271" i="45"/>
  <c r="AF318" i="45"/>
  <c r="AF305" i="45"/>
  <c r="AI357" i="45"/>
  <c r="P319" i="45"/>
  <c r="AG319" i="45" s="1"/>
  <c r="AF319" i="45"/>
  <c r="AG318" i="45"/>
  <c r="AG283" i="45"/>
  <c r="AF280" i="45"/>
  <c r="AE357" i="45"/>
  <c r="AF357" i="45" l="1"/>
  <c r="P357" i="45"/>
  <c r="AG267" i="45"/>
  <c r="AG357" i="45" s="1"/>
  <c r="H47" i="79" l="1"/>
  <c r="G47" i="79"/>
  <c r="F13" i="50" l="1"/>
  <c r="F13" i="39"/>
  <c r="E13" i="39"/>
  <c r="D13" i="39"/>
  <c r="P274" i="53" l="1"/>
  <c r="M274" i="53"/>
  <c r="J19" i="81" l="1"/>
  <c r="J11" i="81"/>
  <c r="H24" i="81"/>
  <c r="H15" i="81"/>
  <c r="H7" i="81"/>
  <c r="D27" i="81"/>
  <c r="F27" i="81"/>
  <c r="E27" i="81"/>
  <c r="C27" i="81"/>
  <c r="B27" i="81"/>
  <c r="I25" i="81"/>
  <c r="J25" i="81" s="1"/>
  <c r="I24" i="81"/>
  <c r="J24" i="81" s="1"/>
  <c r="I23" i="81"/>
  <c r="I22" i="81"/>
  <c r="J22" i="81" s="1"/>
  <c r="I21" i="81"/>
  <c r="J21" i="81" s="1"/>
  <c r="I20" i="81"/>
  <c r="J20" i="81" s="1"/>
  <c r="I19" i="81"/>
  <c r="I18" i="81"/>
  <c r="J18" i="81" s="1"/>
  <c r="I17" i="81"/>
  <c r="J17" i="81" s="1"/>
  <c r="I16" i="81"/>
  <c r="J16" i="81" s="1"/>
  <c r="I15" i="81"/>
  <c r="J15" i="81" s="1"/>
  <c r="I14" i="81"/>
  <c r="J14" i="81" s="1"/>
  <c r="I13" i="81"/>
  <c r="J13" i="81" s="1"/>
  <c r="I12" i="81"/>
  <c r="J12" i="81" s="1"/>
  <c r="I11" i="81"/>
  <c r="I10" i="81"/>
  <c r="J10" i="81" s="1"/>
  <c r="I9" i="81"/>
  <c r="J9" i="81" s="1"/>
  <c r="I8" i="81"/>
  <c r="J8" i="81" s="1"/>
  <c r="I7" i="81"/>
  <c r="J7" i="81" s="1"/>
  <c r="I6" i="81"/>
  <c r="J6" i="81" s="1"/>
  <c r="G25" i="81"/>
  <c r="H25" i="81" s="1"/>
  <c r="G24" i="81"/>
  <c r="G23" i="81"/>
  <c r="G22" i="81"/>
  <c r="H22" i="81" s="1"/>
  <c r="G21" i="81"/>
  <c r="H21" i="81" s="1"/>
  <c r="G20" i="81"/>
  <c r="H20" i="81" s="1"/>
  <c r="G19" i="81"/>
  <c r="H19" i="81" s="1"/>
  <c r="G18" i="81"/>
  <c r="H18" i="81" s="1"/>
  <c r="G17" i="81"/>
  <c r="H17" i="81" s="1"/>
  <c r="G16" i="81"/>
  <c r="H16" i="81" s="1"/>
  <c r="G15" i="81"/>
  <c r="G14" i="81"/>
  <c r="H14" i="81" s="1"/>
  <c r="G13" i="81"/>
  <c r="H13" i="81" s="1"/>
  <c r="G12" i="81"/>
  <c r="H12" i="81" s="1"/>
  <c r="G11" i="81"/>
  <c r="H11" i="81" s="1"/>
  <c r="G10" i="81"/>
  <c r="H10" i="81" s="1"/>
  <c r="G9" i="81"/>
  <c r="H9" i="81" s="1"/>
  <c r="G8" i="81"/>
  <c r="H8" i="81" s="1"/>
  <c r="G7" i="81"/>
  <c r="I27" i="81" l="1"/>
  <c r="J27" i="81" s="1"/>
  <c r="G6" i="81"/>
  <c r="O104" i="21"/>
  <c r="H100" i="21"/>
  <c r="E100" i="21"/>
  <c r="F96" i="21"/>
  <c r="E96" i="21"/>
  <c r="D96" i="21"/>
  <c r="L88" i="21"/>
  <c r="L84" i="21"/>
  <c r="L80" i="21"/>
  <c r="H92" i="21"/>
  <c r="F92" i="21"/>
  <c r="E92" i="21"/>
  <c r="D92" i="21"/>
  <c r="F88" i="21"/>
  <c r="H84" i="21"/>
  <c r="F80" i="21"/>
  <c r="F84" i="21"/>
  <c r="D84" i="21"/>
  <c r="L76" i="21"/>
  <c r="F76" i="21"/>
  <c r="F72" i="21"/>
  <c r="D72" i="21"/>
  <c r="L64" i="21"/>
  <c r="D64" i="21"/>
  <c r="F64" i="21"/>
  <c r="F60" i="21"/>
  <c r="F56" i="21"/>
  <c r="F52" i="21"/>
  <c r="L48" i="21"/>
  <c r="F48" i="21"/>
  <c r="E48" i="21"/>
  <c r="F44" i="21"/>
  <c r="F40" i="21"/>
  <c r="L36" i="21"/>
  <c r="F36" i="21"/>
  <c r="D44" i="21"/>
  <c r="D36" i="21"/>
  <c r="L24" i="21"/>
  <c r="F24" i="21"/>
  <c r="E24" i="21"/>
  <c r="F32" i="21"/>
  <c r="D32" i="21"/>
  <c r="D24" i="21"/>
  <c r="L16" i="21"/>
  <c r="H16" i="21"/>
  <c r="F16" i="21"/>
  <c r="E16" i="21"/>
  <c r="D16" i="21"/>
  <c r="G27" i="81" l="1"/>
  <c r="H27" i="81" s="1"/>
  <c r="H6" i="81"/>
  <c r="O107" i="21"/>
  <c r="O106" i="21"/>
  <c r="P106" i="21" s="1"/>
  <c r="O105" i="21"/>
  <c r="L107" i="21"/>
  <c r="L106" i="21"/>
  <c r="N106" i="21" s="1"/>
  <c r="M105" i="21"/>
  <c r="L105" i="21"/>
  <c r="H107" i="21"/>
  <c r="F107" i="21"/>
  <c r="E107" i="21"/>
  <c r="H106" i="21"/>
  <c r="F106" i="21"/>
  <c r="E106" i="21"/>
  <c r="H105" i="21"/>
  <c r="F105" i="21"/>
  <c r="E105" i="21"/>
  <c r="D107" i="21"/>
  <c r="D106" i="21"/>
  <c r="D105" i="21"/>
  <c r="Q67" i="21"/>
  <c r="Q66" i="21"/>
  <c r="Q65" i="21"/>
  <c r="Q58" i="21"/>
  <c r="Q47" i="21"/>
  <c r="Q37" i="21"/>
  <c r="P105" i="21"/>
  <c r="P103" i="21"/>
  <c r="P104" i="21" s="1"/>
  <c r="P102" i="21"/>
  <c r="P101" i="21"/>
  <c r="P99" i="21"/>
  <c r="P98" i="21"/>
  <c r="P97" i="21"/>
  <c r="P95" i="21"/>
  <c r="P94" i="21"/>
  <c r="P93" i="21"/>
  <c r="P91" i="21"/>
  <c r="P90" i="21"/>
  <c r="P89" i="21"/>
  <c r="P87" i="21"/>
  <c r="P86" i="21"/>
  <c r="P85" i="21"/>
  <c r="P83" i="21"/>
  <c r="P82" i="21"/>
  <c r="P81" i="21"/>
  <c r="P79" i="21"/>
  <c r="P78" i="21"/>
  <c r="P77" i="21"/>
  <c r="P75" i="21"/>
  <c r="P74" i="21"/>
  <c r="P73" i="21"/>
  <c r="P71" i="21"/>
  <c r="P70" i="21"/>
  <c r="P69" i="21"/>
  <c r="P63" i="21"/>
  <c r="P62" i="21"/>
  <c r="P61" i="21"/>
  <c r="P59" i="21"/>
  <c r="P58" i="21"/>
  <c r="P57" i="21"/>
  <c r="P55" i="21"/>
  <c r="P54" i="21"/>
  <c r="P53" i="21"/>
  <c r="P51" i="21"/>
  <c r="P50" i="21"/>
  <c r="P49" i="21"/>
  <c r="P47" i="21"/>
  <c r="P46" i="21"/>
  <c r="P45" i="21"/>
  <c r="P43" i="21"/>
  <c r="P42" i="21"/>
  <c r="P41" i="21"/>
  <c r="P39" i="21"/>
  <c r="P38" i="21"/>
  <c r="P37" i="21"/>
  <c r="P35" i="21"/>
  <c r="P34" i="21"/>
  <c r="P33" i="21"/>
  <c r="P31" i="21"/>
  <c r="P30" i="21"/>
  <c r="P29" i="21"/>
  <c r="N103" i="21"/>
  <c r="N102" i="21"/>
  <c r="N101" i="21"/>
  <c r="Q101" i="21" s="1"/>
  <c r="N99" i="21"/>
  <c r="N98" i="21"/>
  <c r="N97" i="21"/>
  <c r="N95" i="21"/>
  <c r="N94" i="21"/>
  <c r="N93" i="21"/>
  <c r="N91" i="21"/>
  <c r="N90" i="21"/>
  <c r="Q90" i="21" s="1"/>
  <c r="N89" i="21"/>
  <c r="N87" i="21"/>
  <c r="N86" i="21"/>
  <c r="N85" i="21"/>
  <c r="N83" i="21"/>
  <c r="N84" i="21" s="1"/>
  <c r="N82" i="21"/>
  <c r="N81" i="21"/>
  <c r="N79" i="21"/>
  <c r="N80" i="21" s="1"/>
  <c r="N78" i="21"/>
  <c r="N77" i="21"/>
  <c r="N75" i="21"/>
  <c r="N74" i="21"/>
  <c r="N73" i="21"/>
  <c r="N71" i="21"/>
  <c r="N70" i="21"/>
  <c r="N69" i="21"/>
  <c r="Q69" i="21" s="1"/>
  <c r="N63" i="21"/>
  <c r="N64" i="21" s="1"/>
  <c r="N62" i="21"/>
  <c r="N61" i="21"/>
  <c r="N59" i="21"/>
  <c r="N58" i="21"/>
  <c r="N57" i="21"/>
  <c r="N55" i="21"/>
  <c r="N54" i="21"/>
  <c r="N53" i="21"/>
  <c r="N51" i="21"/>
  <c r="N50" i="21"/>
  <c r="N49" i="21"/>
  <c r="N47" i="21"/>
  <c r="N48" i="21" s="1"/>
  <c r="N46" i="21"/>
  <c r="N45" i="21"/>
  <c r="N43" i="21"/>
  <c r="N42" i="21"/>
  <c r="N41" i="21"/>
  <c r="N39" i="21"/>
  <c r="N38" i="21"/>
  <c r="N37" i="21"/>
  <c r="N35" i="21"/>
  <c r="N34" i="21"/>
  <c r="N33" i="21"/>
  <c r="N31" i="21"/>
  <c r="N30" i="21"/>
  <c r="N29" i="21"/>
  <c r="I103" i="21"/>
  <c r="Q103" i="21" s="1"/>
  <c r="I102" i="21"/>
  <c r="Q102" i="21" s="1"/>
  <c r="I101" i="21"/>
  <c r="I99" i="21"/>
  <c r="I98" i="21"/>
  <c r="Q98" i="21" s="1"/>
  <c r="I97" i="21"/>
  <c r="Q97" i="21" s="1"/>
  <c r="I95" i="21"/>
  <c r="Q95" i="21" s="1"/>
  <c r="I94" i="21"/>
  <c r="Q94" i="21" s="1"/>
  <c r="I93" i="21"/>
  <c r="Q93" i="21" s="1"/>
  <c r="I91" i="21"/>
  <c r="I92" i="21" s="1"/>
  <c r="I90" i="21"/>
  <c r="I89" i="21"/>
  <c r="Q89" i="21" s="1"/>
  <c r="I87" i="21"/>
  <c r="I88" i="21" s="1"/>
  <c r="I86" i="21"/>
  <c r="Q86" i="21" s="1"/>
  <c r="I85" i="21"/>
  <c r="Q85" i="21" s="1"/>
  <c r="I83" i="21"/>
  <c r="Q83" i="21" s="1"/>
  <c r="Q84" i="21" s="1"/>
  <c r="I82" i="21"/>
  <c r="Q82" i="21" s="1"/>
  <c r="I81" i="21"/>
  <c r="Q81" i="21" s="1"/>
  <c r="I79" i="21"/>
  <c r="I78" i="21"/>
  <c r="Q78" i="21" s="1"/>
  <c r="I77" i="21"/>
  <c r="Q77" i="21" s="1"/>
  <c r="I75" i="21"/>
  <c r="I76" i="21" s="1"/>
  <c r="I74" i="21"/>
  <c r="Q74" i="21" s="1"/>
  <c r="I73" i="21"/>
  <c r="Q73" i="21" s="1"/>
  <c r="I71" i="21"/>
  <c r="Q71" i="21" s="1"/>
  <c r="I70" i="21"/>
  <c r="Q70" i="21" s="1"/>
  <c r="I69" i="21"/>
  <c r="I63" i="21"/>
  <c r="I62" i="21"/>
  <c r="Q62" i="21" s="1"/>
  <c r="I61" i="21"/>
  <c r="Q61" i="21" s="1"/>
  <c r="I59" i="21"/>
  <c r="Q59" i="21" s="1"/>
  <c r="Q60" i="21" s="1"/>
  <c r="I58" i="21"/>
  <c r="I57" i="21"/>
  <c r="Q57" i="21" s="1"/>
  <c r="I55" i="21"/>
  <c r="I56" i="21" s="1"/>
  <c r="I54" i="21"/>
  <c r="Q54" i="21" s="1"/>
  <c r="I53" i="21"/>
  <c r="Q53" i="21" s="1"/>
  <c r="I51" i="21"/>
  <c r="I52" i="21" s="1"/>
  <c r="I50" i="21"/>
  <c r="Q50" i="21" s="1"/>
  <c r="I49" i="21"/>
  <c r="Q49" i="21" s="1"/>
  <c r="I47" i="21"/>
  <c r="I46" i="21"/>
  <c r="Q46" i="21" s="1"/>
  <c r="I45" i="21"/>
  <c r="Q45" i="21" s="1"/>
  <c r="I43" i="21"/>
  <c r="I42" i="21"/>
  <c r="Q42" i="21" s="1"/>
  <c r="I41" i="21"/>
  <c r="Q41" i="21" s="1"/>
  <c r="I39" i="21"/>
  <c r="I40" i="21" s="1"/>
  <c r="I38" i="21"/>
  <c r="Q38" i="21" s="1"/>
  <c r="I37" i="21"/>
  <c r="I35" i="21"/>
  <c r="I34" i="21"/>
  <c r="Q34" i="21" s="1"/>
  <c r="I33" i="21"/>
  <c r="Q33" i="21" s="1"/>
  <c r="I31" i="21"/>
  <c r="I30" i="21"/>
  <c r="Q30" i="21" s="1"/>
  <c r="I29" i="21"/>
  <c r="Q29" i="21" s="1"/>
  <c r="P23" i="21"/>
  <c r="P22" i="21"/>
  <c r="P21" i="21"/>
  <c r="N23" i="21"/>
  <c r="N24" i="21" s="1"/>
  <c r="N22" i="21"/>
  <c r="N21" i="21"/>
  <c r="I23" i="21"/>
  <c r="I22" i="21"/>
  <c r="Q22" i="21" s="1"/>
  <c r="I21" i="21"/>
  <c r="Q21" i="21" s="1"/>
  <c r="Q13" i="21"/>
  <c r="P15" i="21"/>
  <c r="P14" i="21"/>
  <c r="P13" i="21"/>
  <c r="N15" i="21"/>
  <c r="N14" i="21"/>
  <c r="N13" i="21"/>
  <c r="I15" i="21"/>
  <c r="I14" i="21"/>
  <c r="Q14" i="21" s="1"/>
  <c r="I13" i="21"/>
  <c r="Q72" i="21" l="1"/>
  <c r="Q104" i="21"/>
  <c r="Q79" i="21"/>
  <c r="Q80" i="21" s="1"/>
  <c r="I32" i="21"/>
  <c r="I64" i="21"/>
  <c r="I100" i="21"/>
  <c r="Q91" i="21"/>
  <c r="Q92" i="21" s="1"/>
  <c r="I16" i="21"/>
  <c r="Q15" i="21"/>
  <c r="Q16" i="21" s="1"/>
  <c r="I44" i="21"/>
  <c r="I80" i="21"/>
  <c r="N36" i="21"/>
  <c r="Q39" i="21"/>
  <c r="Q40" i="21" s="1"/>
  <c r="N107" i="21"/>
  <c r="N108" i="21" s="1"/>
  <c r="L108" i="21"/>
  <c r="Q48" i="21"/>
  <c r="Q51" i="21"/>
  <c r="Q52" i="21" s="1"/>
  <c r="N16" i="21"/>
  <c r="I72" i="21"/>
  <c r="Q31" i="21"/>
  <c r="Q32" i="21" s="1"/>
  <c r="Q63" i="21"/>
  <c r="Q64" i="21" s="1"/>
  <c r="E108" i="21"/>
  <c r="I48" i="21"/>
  <c r="I84" i="21"/>
  <c r="N76" i="21"/>
  <c r="Q43" i="21"/>
  <c r="Q44" i="21" s="1"/>
  <c r="Q75" i="21"/>
  <c r="Q76" i="21" s="1"/>
  <c r="D108" i="21"/>
  <c r="F108" i="21"/>
  <c r="P107" i="21"/>
  <c r="P108" i="21" s="1"/>
  <c r="O108" i="21"/>
  <c r="I36" i="21"/>
  <c r="I24" i="21"/>
  <c r="Q23" i="21"/>
  <c r="Q24" i="21" s="1"/>
  <c r="I60" i="21"/>
  <c r="N88" i="21"/>
  <c r="Q55" i="21"/>
  <c r="Q56" i="21" s="1"/>
  <c r="Q87" i="21"/>
  <c r="Q88" i="21" s="1"/>
  <c r="H108" i="21"/>
  <c r="Q35" i="21"/>
  <c r="Q36" i="21" s="1"/>
  <c r="Q99" i="21"/>
  <c r="Q100" i="21" s="1"/>
  <c r="N105" i="21"/>
  <c r="I107" i="21"/>
  <c r="I106" i="21"/>
  <c r="Q106" i="21" s="1"/>
  <c r="I105" i="21"/>
  <c r="Q105" i="21" s="1"/>
  <c r="D96" i="76"/>
  <c r="C96" i="76"/>
  <c r="B96" i="76"/>
  <c r="F68" i="76"/>
  <c r="B65" i="76"/>
  <c r="D65" i="76"/>
  <c r="C65" i="76"/>
  <c r="D33" i="76"/>
  <c r="C33" i="76"/>
  <c r="B33" i="76"/>
  <c r="F200" i="70"/>
  <c r="F194" i="70"/>
  <c r="F193" i="70"/>
  <c r="F139" i="70"/>
  <c r="F137" i="70"/>
  <c r="F87" i="70"/>
  <c r="F83" i="70"/>
  <c r="F81" i="70"/>
  <c r="Q107" i="21" l="1"/>
  <c r="Q108" i="21" s="1"/>
  <c r="I108" i="21"/>
  <c r="O85" i="30"/>
  <c r="P84" i="30"/>
  <c r="P83" i="30"/>
  <c r="P82" i="30"/>
  <c r="P81" i="30"/>
  <c r="P80" i="30"/>
  <c r="P79" i="30"/>
  <c r="P78" i="30"/>
  <c r="P77" i="30"/>
  <c r="P76" i="30"/>
  <c r="P75" i="30"/>
  <c r="N84" i="30"/>
  <c r="N83" i="30"/>
  <c r="N82" i="30"/>
  <c r="N81" i="30"/>
  <c r="N80" i="30"/>
  <c r="N79" i="30"/>
  <c r="N78" i="30"/>
  <c r="N77" i="30"/>
  <c r="N76" i="30"/>
  <c r="N75" i="30"/>
  <c r="I84" i="30"/>
  <c r="I83" i="30"/>
  <c r="I82" i="30"/>
  <c r="I81" i="30"/>
  <c r="I80" i="30"/>
  <c r="I79" i="30"/>
  <c r="I78" i="30"/>
  <c r="I77" i="30"/>
  <c r="I76" i="30"/>
  <c r="I75" i="30"/>
  <c r="M85" i="30"/>
  <c r="L85" i="30"/>
  <c r="K85" i="30"/>
  <c r="J85" i="30"/>
  <c r="H85" i="30"/>
  <c r="G85" i="30"/>
  <c r="F85" i="30"/>
  <c r="E85" i="30"/>
  <c r="D85" i="30"/>
  <c r="P67" i="30"/>
  <c r="P66" i="30"/>
  <c r="P65" i="30"/>
  <c r="P64" i="30"/>
  <c r="P63" i="30"/>
  <c r="P62" i="30"/>
  <c r="P61" i="30"/>
  <c r="P60" i="30"/>
  <c r="P59" i="30"/>
  <c r="P58" i="30"/>
  <c r="N67" i="30"/>
  <c r="N66" i="30"/>
  <c r="N65" i="30"/>
  <c r="N64" i="30"/>
  <c r="N63" i="30"/>
  <c r="N62" i="30"/>
  <c r="N61" i="30"/>
  <c r="N60" i="30"/>
  <c r="N59" i="30"/>
  <c r="N58" i="30"/>
  <c r="I67" i="30"/>
  <c r="I66" i="30"/>
  <c r="I65" i="30"/>
  <c r="I64" i="30"/>
  <c r="I63" i="30"/>
  <c r="I62" i="30"/>
  <c r="I61" i="30"/>
  <c r="I60" i="30"/>
  <c r="I59" i="30"/>
  <c r="I58" i="30"/>
  <c r="O68" i="30"/>
  <c r="M68" i="30"/>
  <c r="L68" i="30"/>
  <c r="K68" i="30"/>
  <c r="J68" i="30"/>
  <c r="H68" i="30"/>
  <c r="G68" i="30"/>
  <c r="F68" i="30"/>
  <c r="E68" i="30"/>
  <c r="D68" i="30"/>
  <c r="P51" i="30"/>
  <c r="O51" i="30"/>
  <c r="M51" i="30"/>
  <c r="L51" i="30"/>
  <c r="K51" i="30"/>
  <c r="J51" i="30"/>
  <c r="H51" i="30"/>
  <c r="G51" i="30"/>
  <c r="F51" i="30"/>
  <c r="E51" i="30"/>
  <c r="D51" i="30"/>
  <c r="N42" i="30"/>
  <c r="N41" i="30"/>
  <c r="I42" i="30"/>
  <c r="I41" i="30"/>
  <c r="N50" i="30"/>
  <c r="N49" i="30"/>
  <c r="N48" i="30"/>
  <c r="N47" i="30"/>
  <c r="N46" i="30"/>
  <c r="N45" i="30"/>
  <c r="N44" i="30"/>
  <c r="N43" i="30"/>
  <c r="I50" i="30"/>
  <c r="Q50" i="30" s="1"/>
  <c r="I49" i="30"/>
  <c r="I48" i="30"/>
  <c r="I47" i="30"/>
  <c r="I46" i="30"/>
  <c r="I45" i="30"/>
  <c r="I44" i="30"/>
  <c r="Q44" i="30" s="1"/>
  <c r="I43" i="30"/>
  <c r="P34" i="30"/>
  <c r="O34" i="30"/>
  <c r="M34" i="30"/>
  <c r="L34" i="30"/>
  <c r="K34" i="30"/>
  <c r="N33" i="30"/>
  <c r="N32" i="30"/>
  <c r="N31" i="30"/>
  <c r="N30" i="30"/>
  <c r="N29" i="30"/>
  <c r="N28" i="30"/>
  <c r="N27" i="30"/>
  <c r="N26" i="30"/>
  <c r="N25" i="30"/>
  <c r="N24" i="30"/>
  <c r="I33" i="30"/>
  <c r="I32" i="30"/>
  <c r="I31" i="30"/>
  <c r="I30" i="30"/>
  <c r="Q30" i="30" s="1"/>
  <c r="I29" i="30"/>
  <c r="I28" i="30"/>
  <c r="I27" i="30"/>
  <c r="I26" i="30"/>
  <c r="I25" i="30"/>
  <c r="I24" i="30"/>
  <c r="J34" i="30"/>
  <c r="H34" i="30"/>
  <c r="G34" i="30"/>
  <c r="F34" i="30"/>
  <c r="E34" i="30"/>
  <c r="D34" i="30"/>
  <c r="P14" i="30"/>
  <c r="P13" i="30"/>
  <c r="P12" i="30"/>
  <c r="P11" i="30"/>
  <c r="P10" i="30"/>
  <c r="P9" i="30"/>
  <c r="P8" i="30"/>
  <c r="P7" i="30"/>
  <c r="P6" i="30"/>
  <c r="P5" i="30"/>
  <c r="N14" i="30"/>
  <c r="N13" i="30"/>
  <c r="N12" i="30"/>
  <c r="N11" i="30"/>
  <c r="N10" i="30"/>
  <c r="N9" i="30"/>
  <c r="N8" i="30"/>
  <c r="N7" i="30"/>
  <c r="N6" i="30"/>
  <c r="N5" i="30"/>
  <c r="O15" i="30"/>
  <c r="M15" i="30"/>
  <c r="L15" i="30"/>
  <c r="K15" i="30"/>
  <c r="J15" i="30"/>
  <c r="I14" i="30"/>
  <c r="I13" i="30"/>
  <c r="I12" i="30"/>
  <c r="I11" i="30"/>
  <c r="Q11" i="30" s="1"/>
  <c r="I10" i="30"/>
  <c r="I9" i="30"/>
  <c r="I8" i="30"/>
  <c r="I7" i="30"/>
  <c r="I6" i="30"/>
  <c r="I5" i="30"/>
  <c r="Q5" i="30" s="1"/>
  <c r="H15" i="30"/>
  <c r="G15" i="30"/>
  <c r="F15" i="30"/>
  <c r="E15" i="30"/>
  <c r="D15" i="30"/>
  <c r="Q10" i="30" l="1"/>
  <c r="Q7" i="30"/>
  <c r="Q24" i="30"/>
  <c r="Q47" i="30"/>
  <c r="Q83" i="30"/>
  <c r="P15" i="30"/>
  <c r="Q31" i="30"/>
  <c r="Q12" i="30"/>
  <c r="Q66" i="30"/>
  <c r="Q80" i="30"/>
  <c r="Q78" i="30"/>
  <c r="Q45" i="30"/>
  <c r="Q61" i="30"/>
  <c r="Q67" i="30"/>
  <c r="Q75" i="30"/>
  <c r="Q81" i="30"/>
  <c r="Q77" i="30"/>
  <c r="Q46" i="30"/>
  <c r="Q25" i="30"/>
  <c r="Q6" i="30"/>
  <c r="Q26" i="30"/>
  <c r="Q82" i="30"/>
  <c r="Q33" i="30"/>
  <c r="I51" i="30"/>
  <c r="Q63" i="30"/>
  <c r="P85" i="30"/>
  <c r="Q28" i="30"/>
  <c r="N34" i="30"/>
  <c r="Q48" i="30"/>
  <c r="Q42" i="30"/>
  <c r="Q58" i="30"/>
  <c r="Q64" i="30"/>
  <c r="Q29" i="30"/>
  <c r="Q43" i="30"/>
  <c r="Q49" i="30"/>
  <c r="N51" i="30"/>
  <c r="Q59" i="30"/>
  <c r="Q65" i="30"/>
  <c r="I68" i="30"/>
  <c r="Q84" i="30"/>
  <c r="Q62" i="30"/>
  <c r="Q32" i="30"/>
  <c r="Q76" i="30"/>
  <c r="Q27" i="30"/>
  <c r="Q79" i="30"/>
  <c r="Q60" i="30"/>
  <c r="Q41" i="30"/>
  <c r="N85" i="30"/>
  <c r="N68" i="30"/>
  <c r="Q8" i="30"/>
  <c r="Q14" i="30"/>
  <c r="Q13" i="30"/>
  <c r="Q9" i="30"/>
  <c r="I85" i="30"/>
  <c r="P68" i="30"/>
  <c r="I34" i="30"/>
  <c r="N15" i="30"/>
  <c r="I15" i="30"/>
  <c r="Q15" i="9"/>
  <c r="O17" i="9"/>
  <c r="O15" i="9" s="1"/>
  <c r="O13" i="9"/>
  <c r="O10" i="9"/>
  <c r="O8" i="9"/>
  <c r="O6" i="9"/>
  <c r="H10" i="9"/>
  <c r="M17" i="9"/>
  <c r="M13" i="9"/>
  <c r="M10" i="9"/>
  <c r="M8" i="9"/>
  <c r="H17" i="9"/>
  <c r="H15" i="9" s="1"/>
  <c r="H13" i="9"/>
  <c r="H8" i="9"/>
  <c r="M6" i="9"/>
  <c r="H6" i="9"/>
  <c r="F24" i="9"/>
  <c r="N15" i="9"/>
  <c r="N24" i="9" s="1"/>
  <c r="K15" i="9"/>
  <c r="K24" i="9" s="1"/>
  <c r="G15" i="9"/>
  <c r="G24" i="9" s="1"/>
  <c r="E15" i="9"/>
  <c r="E24" i="9" s="1"/>
  <c r="D15" i="9"/>
  <c r="D24" i="9" s="1"/>
  <c r="C15" i="9"/>
  <c r="C24" i="9" s="1"/>
  <c r="P17" i="9" l="1"/>
  <c r="P15" i="9" s="1"/>
  <c r="P10" i="9"/>
  <c r="Q85" i="30"/>
  <c r="R81" i="30" s="1"/>
  <c r="Q34" i="30"/>
  <c r="R28" i="30" s="1"/>
  <c r="R77" i="30"/>
  <c r="R82" i="30"/>
  <c r="P13" i="9"/>
  <c r="Q15" i="30"/>
  <c r="R9" i="30" s="1"/>
  <c r="P8" i="9"/>
  <c r="Q68" i="30"/>
  <c r="R58" i="30" s="1"/>
  <c r="R68" i="30" s="1"/>
  <c r="H24" i="9"/>
  <c r="O24" i="9"/>
  <c r="P6" i="9"/>
  <c r="M15" i="9"/>
  <c r="M24" i="9" s="1"/>
  <c r="R76" i="30"/>
  <c r="R78" i="30"/>
  <c r="R30" i="30"/>
  <c r="Q51" i="30"/>
  <c r="D278" i="70"/>
  <c r="C278" i="70"/>
  <c r="B278" i="70"/>
  <c r="D273" i="70"/>
  <c r="C273" i="70"/>
  <c r="B273" i="70"/>
  <c r="D266" i="70"/>
  <c r="C266" i="70"/>
  <c r="B266" i="70"/>
  <c r="D261" i="70"/>
  <c r="C261" i="70"/>
  <c r="B261" i="70"/>
  <c r="D256" i="70"/>
  <c r="C256" i="70"/>
  <c r="B256" i="70"/>
  <c r="D249" i="70"/>
  <c r="C249" i="70"/>
  <c r="B249" i="70"/>
  <c r="D244" i="70"/>
  <c r="C244" i="70"/>
  <c r="B244" i="70"/>
  <c r="D239" i="70"/>
  <c r="C239" i="70"/>
  <c r="B239" i="70"/>
  <c r="D232" i="70"/>
  <c r="C232" i="70"/>
  <c r="B232" i="70"/>
  <c r="R6" i="30" l="1"/>
  <c r="R80" i="30"/>
  <c r="B246" i="70"/>
  <c r="R7" i="30"/>
  <c r="R8" i="30"/>
  <c r="R24" i="30"/>
  <c r="R32" i="30"/>
  <c r="R33" i="30"/>
  <c r="R83" i="30"/>
  <c r="R10" i="30"/>
  <c r="R75" i="30"/>
  <c r="C263" i="70"/>
  <c r="R25" i="30"/>
  <c r="R14" i="30"/>
  <c r="R84" i="30"/>
  <c r="R13" i="30"/>
  <c r="R26" i="30"/>
  <c r="R11" i="30"/>
  <c r="R79" i="30"/>
  <c r="R5" i="30"/>
  <c r="D246" i="70"/>
  <c r="D280" i="70"/>
  <c r="R29" i="30"/>
  <c r="R31" i="30"/>
  <c r="R27" i="30"/>
  <c r="R12" i="30"/>
  <c r="C246" i="70"/>
  <c r="D263" i="70"/>
  <c r="B263" i="70"/>
  <c r="C280" i="70"/>
  <c r="B280" i="70"/>
  <c r="R42" i="30"/>
  <c r="R43" i="30"/>
  <c r="R47" i="30"/>
  <c r="R44" i="30"/>
  <c r="R45" i="30"/>
  <c r="R50" i="30"/>
  <c r="R49" i="30"/>
  <c r="R46" i="30"/>
  <c r="R48" i="30"/>
  <c r="R41" i="30"/>
  <c r="P24" i="9"/>
  <c r="Q6" i="9" s="1"/>
  <c r="D219" i="70"/>
  <c r="C219" i="70"/>
  <c r="B219" i="70"/>
  <c r="D214" i="70"/>
  <c r="C214" i="70"/>
  <c r="B214" i="70"/>
  <c r="D207" i="70"/>
  <c r="C207" i="70"/>
  <c r="B207" i="70"/>
  <c r="D202" i="70"/>
  <c r="C202" i="70"/>
  <c r="B202" i="70"/>
  <c r="D197" i="70"/>
  <c r="C197" i="70"/>
  <c r="B197" i="70"/>
  <c r="D190" i="70"/>
  <c r="C190" i="70"/>
  <c r="B190" i="70"/>
  <c r="D185" i="70"/>
  <c r="C185" i="70"/>
  <c r="B185" i="70"/>
  <c r="D180" i="70"/>
  <c r="C180" i="70"/>
  <c r="B180" i="70"/>
  <c r="D173" i="70"/>
  <c r="C173" i="70"/>
  <c r="B173" i="70"/>
  <c r="D164" i="70"/>
  <c r="C164" i="70"/>
  <c r="B164" i="70"/>
  <c r="D159" i="70"/>
  <c r="C159" i="70"/>
  <c r="B159" i="70"/>
  <c r="D152" i="70"/>
  <c r="C152" i="70"/>
  <c r="B152" i="70"/>
  <c r="D147" i="70"/>
  <c r="C147" i="70"/>
  <c r="B147" i="70"/>
  <c r="D142" i="70"/>
  <c r="C142" i="70"/>
  <c r="B142" i="70"/>
  <c r="D135" i="70"/>
  <c r="C135" i="70"/>
  <c r="B135" i="70"/>
  <c r="B149" i="70" s="1"/>
  <c r="D125" i="70"/>
  <c r="C125" i="70"/>
  <c r="B125" i="70"/>
  <c r="D118" i="70"/>
  <c r="C118" i="70"/>
  <c r="B118" i="70"/>
  <c r="D101" i="70"/>
  <c r="C101" i="70"/>
  <c r="B101" i="70"/>
  <c r="D94" i="70"/>
  <c r="C94" i="70"/>
  <c r="B94" i="70"/>
  <c r="D84" i="70"/>
  <c r="C84" i="70"/>
  <c r="B84" i="70"/>
  <c r="D77" i="70"/>
  <c r="C77" i="70"/>
  <c r="B77" i="70"/>
  <c r="D67" i="70"/>
  <c r="C67" i="70"/>
  <c r="B67" i="70"/>
  <c r="D60" i="70"/>
  <c r="C60" i="70"/>
  <c r="B60" i="70"/>
  <c r="D45" i="70"/>
  <c r="C45" i="70"/>
  <c r="D38" i="70"/>
  <c r="C38" i="70"/>
  <c r="B45" i="70"/>
  <c r="B38" i="70"/>
  <c r="D28" i="70"/>
  <c r="C28" i="70"/>
  <c r="B28" i="70"/>
  <c r="D21" i="70"/>
  <c r="C21" i="70"/>
  <c r="B21" i="70"/>
  <c r="D11" i="70"/>
  <c r="C11" i="70"/>
  <c r="B11" i="70"/>
  <c r="D4" i="70"/>
  <c r="C4" i="70"/>
  <c r="B4" i="70"/>
  <c r="B187" i="70" l="1"/>
  <c r="B221" i="70"/>
  <c r="R85" i="30"/>
  <c r="D74" i="70"/>
  <c r="D91" i="70"/>
  <c r="D108" i="70"/>
  <c r="D132" i="70"/>
  <c r="D166" i="70"/>
  <c r="D204" i="70"/>
  <c r="R34" i="30"/>
  <c r="R15" i="30"/>
  <c r="C74" i="70"/>
  <c r="C132" i="70"/>
  <c r="C149" i="70"/>
  <c r="C187" i="70"/>
  <c r="C221" i="70"/>
  <c r="B132" i="70"/>
  <c r="B204" i="70"/>
  <c r="C166" i="70"/>
  <c r="C204" i="70"/>
  <c r="F204" i="70" s="1"/>
  <c r="B74" i="70"/>
  <c r="B91" i="70"/>
  <c r="D149" i="70"/>
  <c r="D187" i="70"/>
  <c r="D221" i="70"/>
  <c r="C108" i="70"/>
  <c r="C91" i="70"/>
  <c r="B166" i="70"/>
  <c r="B108" i="70"/>
  <c r="B52" i="70"/>
  <c r="Q8" i="9"/>
  <c r="Q13" i="9"/>
  <c r="Q10" i="9"/>
  <c r="R51" i="30"/>
  <c r="D52" i="70"/>
  <c r="B18" i="70"/>
  <c r="B35" i="70"/>
  <c r="C18" i="70"/>
  <c r="C35" i="70"/>
  <c r="D18" i="70"/>
  <c r="D35" i="70"/>
  <c r="C52" i="70"/>
  <c r="C19" i="73"/>
  <c r="D19" i="73"/>
  <c r="D13" i="73"/>
  <c r="D7" i="73"/>
  <c r="Q24" i="9" l="1"/>
</calcChain>
</file>

<file path=xl/sharedStrings.xml><?xml version="1.0" encoding="utf-8"?>
<sst xmlns="http://schemas.openxmlformats.org/spreadsheetml/2006/main" count="17868" uniqueCount="4384">
  <si>
    <t>TOTAL</t>
  </si>
  <si>
    <t>RECURSOS PUBLICOS</t>
  </si>
  <si>
    <t>MONTO</t>
  </si>
  <si>
    <t>F-8</t>
  </si>
  <si>
    <t>PROFESIONALES</t>
  </si>
  <si>
    <t>TECNICOS</t>
  </si>
  <si>
    <t>AUXILIARES</t>
  </si>
  <si>
    <t>DIRECTIVOS/FUNCIONARIOS</t>
  </si>
  <si>
    <t>FUENTE DE FINANCIAMIENTO</t>
  </si>
  <si>
    <t xml:space="preserve"> REMUNERATIVA</t>
  </si>
  <si>
    <t>CATEGORIA</t>
  </si>
  <si>
    <t>PEA</t>
  </si>
  <si>
    <t>...</t>
  </si>
  <si>
    <t>F-1</t>
  </si>
  <si>
    <t>SPA</t>
  </si>
  <si>
    <t>....</t>
  </si>
  <si>
    <t>SPE</t>
  </si>
  <si>
    <t>STA</t>
  </si>
  <si>
    <t>STE</t>
  </si>
  <si>
    <t>SAA</t>
  </si>
  <si>
    <t>SAE</t>
  </si>
  <si>
    <t>S/.</t>
  </si>
  <si>
    <t>Est. %</t>
  </si>
  <si>
    <t>EST. %</t>
  </si>
  <si>
    <t>GASTOS CORRIENTES */</t>
  </si>
  <si>
    <t>TOTAL (A)</t>
  </si>
  <si>
    <t>OTROS</t>
  </si>
  <si>
    <t>COSTO ANUAL</t>
  </si>
  <si>
    <t>OBLIGACIONES DEL EMPLEADOR (CARGAS SOCIALES)</t>
  </si>
  <si>
    <t>GASTOS VARIABLES Y OCASIONALES</t>
  </si>
  <si>
    <t>TRANSFERENCIAS CAFAE</t>
  </si>
  <si>
    <t>RUBROS</t>
  </si>
  <si>
    <t>NUEVOS SOLES</t>
  </si>
  <si>
    <t>CONSULTORIAS</t>
  </si>
  <si>
    <t xml:space="preserve">TOTAL </t>
  </si>
  <si>
    <t>1. RECURSOS ORDINARIOS</t>
  </si>
  <si>
    <t>2. RECURSOS DIRECTAM. RECAUD.</t>
  </si>
  <si>
    <t>3.- RECURSOS OPERACIONES</t>
  </si>
  <si>
    <t>4. DONACIONES Y TRANSFERENCIAS</t>
  </si>
  <si>
    <t>5. RECURSOS DETERMINADOS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</si>
  <si>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</si>
  <si>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</si>
  <si>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</si>
  <si>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CANON  Y  SOBRECANON, REGALIAS</t>
  </si>
  <si>
    <t xml:space="preserve">       Y PARTICIPACIONES</t>
  </si>
  <si>
    <t>TOTAL    (*)</t>
  </si>
  <si>
    <t>OTROS (ESPECIFICAR) (**)</t>
  </si>
  <si>
    <t>(PIA) = Presupuesto Institucional de Apertura</t>
  </si>
  <si>
    <t>TIPO DE ESTUDIO Y/O INFORME (*)</t>
  </si>
  <si>
    <t>(*) EL PRODUCTO QUE SE ADQUIERE</t>
  </si>
  <si>
    <t>NIVELES REMUNERATIVOS</t>
  </si>
  <si>
    <t>(1)</t>
  </si>
  <si>
    <t>(2)</t>
  </si>
  <si>
    <t>(3)</t>
  </si>
  <si>
    <t>(4)</t>
  </si>
  <si>
    <t>(5)</t>
  </si>
  <si>
    <t>(6)</t>
  </si>
  <si>
    <t>CARRERA ADMINISTRATIVA</t>
  </si>
  <si>
    <t>……</t>
  </si>
  <si>
    <t>ASISTENCIALES NO PROFESIONALES DE LA SALUD</t>
  </si>
  <si>
    <t>LEY DEL PROFESORADO</t>
  </si>
  <si>
    <t>CARRERA MEDICA Y PROFESIONALES  DE LA SALUD</t>
  </si>
  <si>
    <t>CARRERA JUDICIAL</t>
  </si>
  <si>
    <t>LEY UNIVERSITARIA</t>
  </si>
  <si>
    <t>LEY DEL SERVICIO DIPLOMATICO</t>
  </si>
  <si>
    <t>PERSONAL MILITAR Y POLICIAL</t>
  </si>
  <si>
    <t xml:space="preserve">OBREROS </t>
  </si>
  <si>
    <t>SERUMISTAS</t>
  </si>
  <si>
    <t xml:space="preserve">     ANIMADORES</t>
  </si>
  <si>
    <t xml:space="preserve">     ………….</t>
  </si>
  <si>
    <t xml:space="preserve">    INTERNOS DE MEDICINA HUMANA Y ODONTOLOGIA</t>
  </si>
  <si>
    <t xml:space="preserve">    SERVICIOS NO PERSONAL </t>
  </si>
  <si>
    <t xml:space="preserve">    PROYECTOS DE INVERSION</t>
  </si>
  <si>
    <t>NOTAS</t>
  </si>
  <si>
    <t xml:space="preserve">(1) PEA: </t>
  </si>
  <si>
    <t xml:space="preserve">(2) REMUNERACION: </t>
  </si>
  <si>
    <t xml:space="preserve">SE CONSIGNARA LA REMUNERACION MENSUAL PROMEDIO DE UN SERVIDOR EN CADA NIVEL DE LA CARRERA PUBLICA SEGUN CORRESPONDA </t>
  </si>
  <si>
    <t xml:space="preserve">(3) CAFAE: </t>
  </si>
  <si>
    <t xml:space="preserve">SE CONSIGNARA EL  INCENTIVO LABORAL  MENSUAL PROMEDIO QUE POR DISPOSICION EXPRESA SE LE OTORGUE A UN SERVIDOR EN CADA NIVEL SEGUN CORRESPONDA </t>
  </si>
  <si>
    <t xml:space="preserve">(4) AETA: </t>
  </si>
  <si>
    <t xml:space="preserve">SOLO APLICABLE AL SECTOR SALUD. SE CONSIGNARA LA ASIGNACION EXTRAORDINARIA POR TRABAJO ASISTENCIAL  MENSUAL PROMEDIO DE UN SERVIDOR EN CADA NIVEL </t>
  </si>
  <si>
    <t xml:space="preserve">SEGUN CORRESPONDA </t>
  </si>
  <si>
    <t xml:space="preserve">(5) OTROS BENEFICIOS - ASIGNACION MENSUAL </t>
  </si>
  <si>
    <t xml:space="preserve">RUBROS ANTERIORES . EN HOJA INDEPENDIENTES SE DETALLARA CADA CONCEPTO Y MONTO, ASI COMO LA DISPOSICION EXPRESA QUE LOS AUTORICE Y LA PERIODICIDAD CON QUE </t>
  </si>
  <si>
    <t xml:space="preserve">SE OTORGA . DEBERA DETALLAR POR CADA CONCEPTO ASI COMO LA DISPOSICION EXPRESA QUE LOS AUTORICE Y LA PERIODICIDAD CON QUE SE OTORGA (MENSUAL, BIMENSUAL, </t>
  </si>
  <si>
    <t>TRIMESTRAL , CUATRIMENSUAL)</t>
  </si>
  <si>
    <t>(7)</t>
  </si>
  <si>
    <t>ADQUISICIONES/CONTRATACIONES/OBRAS</t>
  </si>
  <si>
    <t>FECHA PROG. CONV.</t>
  </si>
  <si>
    <t xml:space="preserve">    - OTROS (ESPECIFICAR)</t>
  </si>
  <si>
    <t>TOTAL SECTOR</t>
  </si>
  <si>
    <t>PROYECTO</t>
  </si>
  <si>
    <t>CODIGO SNIP</t>
  </si>
  <si>
    <t>TIPO DE PROCESO DE SELECCIÓN</t>
  </si>
  <si>
    <t>ADQUISICIÓN</t>
  </si>
  <si>
    <t>OBSERVACIONES</t>
  </si>
  <si>
    <t>ESTADO DEL PROCESO</t>
  </si>
  <si>
    <t>PART. %</t>
  </si>
  <si>
    <t xml:space="preserve">       OFICIALES DE CREDITO</t>
  </si>
  <si>
    <t>SERVICIO DE DEUDA</t>
  </si>
  <si>
    <t>(**) PNUD, BONOS, etc.</t>
  </si>
  <si>
    <t xml:space="preserve"> </t>
  </si>
  <si>
    <t>TIPO DE CONTRATO</t>
  </si>
  <si>
    <t>…</t>
  </si>
  <si>
    <t>PLIEGO</t>
  </si>
  <si>
    <t>UNIDAD EJECUTORA</t>
  </si>
  <si>
    <t>FUNCIÓN DESEMPEÑADA</t>
  </si>
  <si>
    <t>SUB TOTAL GASTOS CORRIENTES</t>
  </si>
  <si>
    <t>SUB TOTAL GASTOS DE CAPITAL</t>
  </si>
  <si>
    <t>SUB TOTAL SERVICIO DE DEUDA</t>
  </si>
  <si>
    <t>GASTOS DE CAPITAL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</si>
  <si>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</si>
  <si>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</si>
  <si>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</si>
  <si>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</si>
  <si>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</si>
  <si>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</si>
  <si>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7: Donaciones y Transferencias</t>
  </si>
  <si>
    <t>8: Otros Gastos</t>
  </si>
  <si>
    <t>9: Adquisiciones de Activos No Financieros</t>
  </si>
  <si>
    <t>10: Adquisiciones de Activos Financieros</t>
  </si>
  <si>
    <t>11: Servicio de la Deuda</t>
  </si>
  <si>
    <t>GASTOS CORRIENTES</t>
  </si>
  <si>
    <t>TRIMESTRAL , CUATRIMENSUAL  O SIN PERIODICIDAD)</t>
  </si>
  <si>
    <t>(8)</t>
  </si>
  <si>
    <t>SUB TOTAL OTROS BENEFICIOS ... (no, mensuales, monto anual)</t>
  </si>
  <si>
    <t>ESPECIALIDAD (**)</t>
  </si>
  <si>
    <t>(**) LA ESPECIALIDAD TOMANDO ENCUENTA HACIENDO REFERENCIA UNA O MAS DE LAS 25 FUNCIONES DEL CLASIFICADOR FUNCIONAL PROGRAMATICO</t>
  </si>
  <si>
    <t xml:space="preserve">CONTRAPRESTACIÓN MENSUAL </t>
  </si>
  <si>
    <t>FUNCIONES</t>
  </si>
  <si>
    <t>PPTO (PIA)</t>
  </si>
  <si>
    <t>1 Legislativa</t>
  </si>
  <si>
    <t>2 Relaciones Exteriores</t>
  </si>
  <si>
    <t>3 Planeam. Gestión y Reserva</t>
  </si>
  <si>
    <t>Decreto Legislativo 728 (Regimen Privado)</t>
  </si>
  <si>
    <t>DNI</t>
  </si>
  <si>
    <t>Apellidos y Nombres</t>
  </si>
  <si>
    <t>Numero de contratos o renovaciones</t>
  </si>
  <si>
    <t>Meses Ejecutados</t>
  </si>
  <si>
    <t>Monto Ejecutado</t>
  </si>
  <si>
    <t>Titulo Profesióonal, Técncio o Capacitación Ocupacional</t>
  </si>
  <si>
    <t>Fuente de Información</t>
  </si>
  <si>
    <t>7: Donaciones y Transferencias (de capital)</t>
  </si>
  <si>
    <t>5: Donaciones y Transferencias (corrientes)</t>
  </si>
  <si>
    <t>6: Otros Gastos (corrientes)</t>
  </si>
  <si>
    <t>8: Otros Gastos (de capital)</t>
  </si>
  <si>
    <t>TOTAL GASTOS UNIDAD EJECUTORA / ENTIDAD PÚBLICA</t>
  </si>
  <si>
    <t>CONTRATANTE</t>
  </si>
  <si>
    <t>CONTRATADO</t>
  </si>
  <si>
    <t>COSTO TOTAL EN PLANILLAS (*)</t>
  </si>
  <si>
    <t>Profesión</t>
  </si>
  <si>
    <t>Grado Academico</t>
  </si>
  <si>
    <t>PEA / Beneficiarios</t>
  </si>
  <si>
    <t>REMUNERACION MENSUAL (cada persona)</t>
  </si>
  <si>
    <t>CAFAE MENSUL (cada persona)</t>
  </si>
  <si>
    <t>AETA MENSUAL (cada persona)</t>
  </si>
  <si>
    <t>OTROS INGRESOS MENSUAL (cada persona)</t>
  </si>
  <si>
    <t>SUB TOTAL INGRESOS MENSUALES (cada persona)</t>
  </si>
  <si>
    <t>AGUINALDOS, GRAFICACIONES Y ESCOLARIDAD (anual cada persona)</t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</si>
  <si>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</si>
  <si>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9"/>
        <rFont val="Arial"/>
        <family val="2"/>
      </rPr>
      <t xml:space="preserve">LAS COLUMNAS COMO SEAN NECESARIAS, </t>
    </r>
    <r>
      <rPr>
        <sz val="9"/>
        <rFont val="Arial"/>
        <family val="2"/>
      </rPr>
      <t xml:space="preserve">SE CONSIGNARA LOS OTROS BENEFICIOS - ASIGNACIONES PERIODICOS O NO PERIODICAS DE UN SERVIDOR EN CADA NIVEL SEGÚN CORRESPONDA NO CONSIGNADO EN LOS </t>
    </r>
  </si>
  <si>
    <t>(9)</t>
  </si>
  <si>
    <t>TOTAL INGRESO ANUAL PEA</t>
  </si>
  <si>
    <t>TOTAL INGRESOS ANUAL POR PERSONA</t>
  </si>
  <si>
    <t>MONTO ANUAL</t>
  </si>
  <si>
    <t>(10)</t>
  </si>
  <si>
    <t>DIFERENCIA INGRESO ANUAL PEA</t>
  </si>
  <si>
    <t xml:space="preserve">DIFERENCIA INGRESO ANUAL POR PERSONAL </t>
  </si>
  <si>
    <t>SE CONSIGNARA EL NUMERO TOTAL DE PERSONAL ACTIVO ( NOMBRADO Y CONTRATADO) SEGÚN EL PRESUPUESTO ANILITOCO DE PERSONAL (PAP) APROBADO</t>
  </si>
  <si>
    <t>(**) Recursos Públicos / Recursos Ordinarios / Recursos Directamente Recaudados / Donaciones  y  Transferencias / Operaciones Oficiales de Crédito/ Recursos Determinados</t>
  </si>
  <si>
    <t>SECTOR O GOB. REGIONAL:</t>
  </si>
  <si>
    <t>FECHA DE SUSCRIPCION DEL CONTRATO</t>
  </si>
  <si>
    <t>FECHA DE VENCIMIENTO DEL PLAZO</t>
  </si>
  <si>
    <t>PLAZO DE EJEUCION DE OBRAS</t>
  </si>
  <si>
    <t>AMPLIACION DE PLAZO</t>
  </si>
  <si>
    <t>FECHA DE VENCIMIENTO DE PLAZO</t>
  </si>
  <si>
    <t>FECHA DE ENTREGA</t>
  </si>
  <si>
    <t>FECHA DE CONFORMIDAD DE OBRA</t>
  </si>
  <si>
    <t>VESTUARIO</t>
  </si>
  <si>
    <t>BONOS POR FUNCION JURIDICCIONAL Y FISCAL</t>
  </si>
  <si>
    <t>ESCOLARIDAD, AGUINALDO Y GRATIFICACIONES</t>
  </si>
  <si>
    <t>BONIFICACIÓN EXTRAORDINARIA (INACEPTACIÓN DE GRATIFICACIONES)</t>
  </si>
  <si>
    <t>DIETAS</t>
  </si>
  <si>
    <t>RETRIBUCIONES EN BIENES</t>
  </si>
  <si>
    <t>MOVILIDAD PARA TRASLADO DE TRABAJADORES</t>
  </si>
  <si>
    <t>PRODUCTIVIDAD</t>
  </si>
  <si>
    <t>SEGUROS (ESPECIFICAR)</t>
  </si>
  <si>
    <t>GASTOS POR ESTACIONAMIENTO DE VEHICULOS</t>
  </si>
  <si>
    <t>DIETA DE DIRECTORIO</t>
  </si>
  <si>
    <t>OTROS INGRESOS NO MENSUALES 
(anual cada personal)</t>
  </si>
  <si>
    <t>INCENTIVOS O PRODUCTIVIDAD (cada persona)</t>
  </si>
  <si>
    <t>MOVILIDAD</t>
  </si>
  <si>
    <t>RACIONAMIENTO</t>
  </si>
  <si>
    <t>BONOS</t>
  </si>
  <si>
    <t>(10) SUB TOTAL</t>
  </si>
  <si>
    <t>SUMATORIA DE LAS COLUMNAS (2), (3), (4), (5), (6), (7), (8), (9)</t>
  </si>
  <si>
    <t>(11) AGUINALDOS, GRAFICACIONES Y ESCOLARIDAD</t>
  </si>
  <si>
    <t>(12) OTROS BENEFICIOS - ASIGNACION ANUAL</t>
  </si>
  <si>
    <t>(11)</t>
  </si>
  <si>
    <t>(12)</t>
  </si>
  <si>
    <t xml:space="preserve">MULTIMPLACIÓN DE LA COLUMNA (10) POR 12 (MESES) Y AL RESULTADO SE SUMA LA COLUMNA (13) </t>
  </si>
  <si>
    <t>(13)</t>
  </si>
  <si>
    <t>(14)</t>
  </si>
  <si>
    <t>(15)</t>
  </si>
  <si>
    <t>(14) TOTAL INGRESOS ANUAL POR PERSONA</t>
  </si>
  <si>
    <t>(15) TOTAL ANUAL PEA</t>
  </si>
  <si>
    <t>(13) SUB TOTAL OTROS BENEFICIOS</t>
  </si>
  <si>
    <t>SUMATORIA DE LAS COLUMNAS (11) Y (12)</t>
  </si>
  <si>
    <t>MULTIPLICACIÓN DEL A COMUNTA (1) POR LA COLUMNA (14)</t>
  </si>
  <si>
    <t>CONTRATISTA (RUC y Denominacion)</t>
  </si>
  <si>
    <t>MODALIDAD</t>
  </si>
  <si>
    <t>NUMERO DEL PROCESO</t>
  </si>
  <si>
    <t>PROGRAMAS SOCIALES</t>
  </si>
  <si>
    <t>JUNTOS</t>
  </si>
  <si>
    <t>SAMU</t>
  </si>
  <si>
    <t>SMN</t>
  </si>
  <si>
    <t>Mortalidad Materna</t>
  </si>
  <si>
    <t>Mortalidad Neonatal</t>
  </si>
  <si>
    <t>II.  GESTACIÓN</t>
  </si>
  <si>
    <t>PAN</t>
  </si>
  <si>
    <t>CUNA MAS</t>
  </si>
  <si>
    <t>Desnutrición Cronica</t>
  </si>
  <si>
    <t>Mortalidad Infantil</t>
  </si>
  <si>
    <t>Desarrollo cognitivo, lenguaje, socioemocional y motor</t>
  </si>
  <si>
    <t>PELA</t>
  </si>
  <si>
    <t>Logros de aprendizaje</t>
  </si>
  <si>
    <t>Cobertura escolar</t>
  </si>
  <si>
    <t>PELA Primaria</t>
  </si>
  <si>
    <t>PELA Secundaria</t>
  </si>
  <si>
    <t>Logros de aprindizaje</t>
  </si>
  <si>
    <t>Deserción escolar</t>
  </si>
  <si>
    <t>Jovenes a la obra</t>
  </si>
  <si>
    <t>Beca 18</t>
  </si>
  <si>
    <t>Acceso a la educación superior de calidad</t>
  </si>
  <si>
    <t>Educacion pertienente para el mercado laboral</t>
  </si>
  <si>
    <t>Pensión 65</t>
  </si>
  <si>
    <t>Asegurar las condiciones básicas para la subsistencia</t>
  </si>
  <si>
    <t>III.  De 0 a 2 AÑOS</t>
  </si>
  <si>
    <t>IV. DE 3 A 5 AÑOS</t>
  </si>
  <si>
    <t>V. DE 6 A 12 AÑOS</t>
  </si>
  <si>
    <t>VI. DE 13 A 17 AÑOS</t>
  </si>
  <si>
    <t>VII. DE 17 A 24 AÑOS</t>
  </si>
  <si>
    <t>VIII. DE 65 A MAS</t>
  </si>
  <si>
    <t>I.  DE GESTANTES A NIÑOS DE HASTA 14 AÑOS</t>
  </si>
  <si>
    <t>BENEFICIARIOS</t>
  </si>
  <si>
    <t>PRESUPUESTO PIA</t>
  </si>
  <si>
    <t>PRESUPUESTO PIM</t>
  </si>
  <si>
    <t>MONTO PRESUPUESTADO (*)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</si>
  <si>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</si>
  <si>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</si>
  <si>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</si>
  <si>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</si>
  <si>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</si>
  <si>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</si>
  <si>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</si>
  <si>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</si>
  <si>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</si>
  <si>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</si>
  <si>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</si>
  <si>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</si>
  <si>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</si>
  <si>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</si>
  <si>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</si>
  <si>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</si>
  <si>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</si>
  <si>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</si>
  <si>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</si>
  <si>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</si>
  <si>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</si>
  <si>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</si>
  <si>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</si>
  <si>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18 aneamiento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</si>
  <si>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</si>
  <si>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</si>
  <si>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</si>
  <si>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</si>
  <si>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</si>
  <si>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</si>
  <si>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</si>
  <si>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CAFAE MENSUAL (cada persona)</t>
  </si>
  <si>
    <t>Responsable</t>
  </si>
  <si>
    <t>Resultado</t>
  </si>
  <si>
    <t>Proyectado</t>
  </si>
  <si>
    <t>Meta</t>
  </si>
  <si>
    <t>UNIDADES EJECUTORAS O ENTIDADES PÚBLICAS ADSCRITAS AL SECTOR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</si>
  <si>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</si>
  <si>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</si>
  <si>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</si>
  <si>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</si>
  <si>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</si>
  <si>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</si>
  <si>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</si>
  <si>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</si>
  <si>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</si>
  <si>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</si>
  <si>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</si>
  <si>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 xml:space="preserve">SERVICIO DE DEUDA </t>
  </si>
  <si>
    <t>SUB TOTAL SER. DEUDA</t>
  </si>
  <si>
    <t>Ley 30057 
(Ley del Servicio Civil)</t>
  </si>
  <si>
    <t>PLIEGO O ENTIDAD DEL SECTOR</t>
  </si>
  <si>
    <t>Nombre del Indicador</t>
  </si>
  <si>
    <t>Decreto Legislativo 1057 (Contrato Administrativo de Servicios</t>
  </si>
  <si>
    <t>(**) Incluye el monto pagado por otras entidades al personal que presta servidos en el Sector o Gobierno Regional</t>
  </si>
  <si>
    <t>Decreto Legislativo 1024 (Gerentes Públicos) (**)</t>
  </si>
  <si>
    <t>Ley 25650 (Fondo de Apoyo Generencial) (**)</t>
  </si>
  <si>
    <t>Ley 29806 (Personal Altamente Calificado) (**)</t>
  </si>
  <si>
    <t xml:space="preserve">(***) Detallar el marco legal </t>
  </si>
  <si>
    <t>Otros Servidores (especificar) (**) (***)</t>
  </si>
  <si>
    <t>(*) Incluye GRATIFICACIONES, CAFAE, PNUD, BONOS, PRODUCTIVIDAD, HORAS EXTRAS, GUARDIAS, AETAS, etc.</t>
  </si>
  <si>
    <t xml:space="preserve">Total </t>
  </si>
  <si>
    <t>S/ (****)</t>
  </si>
  <si>
    <t>S/ Anual (****)</t>
  </si>
  <si>
    <t>Practicantes (***)</t>
  </si>
  <si>
    <t>(****) Proyectado</t>
  </si>
  <si>
    <t>ARRENDATARIO</t>
  </si>
  <si>
    <t>ARRENDADOR</t>
  </si>
  <si>
    <t>DNI O PARTIDA REGISTRAL</t>
  </si>
  <si>
    <t>Apellidos y Nombres o Denominación</t>
  </si>
  <si>
    <t>INMUEBLE</t>
  </si>
  <si>
    <t>CONTRATO</t>
  </si>
  <si>
    <t>VIGENCIA DEL CONTRATO</t>
  </si>
  <si>
    <t>MONTO MENSUAL</t>
  </si>
  <si>
    <t>BIEN PROPIO DE TERCEROS O AJENO</t>
  </si>
  <si>
    <t>PARTIDA REGISTRAL DE INCRIPCION DE PROPIEDAD</t>
  </si>
  <si>
    <t>METROS CUADRADOS</t>
  </si>
  <si>
    <t>COCHERAS</t>
  </si>
  <si>
    <t xml:space="preserve">FORMA DE PAGO (MENSUAL O ANUAL) Y FECHA DE PAGO </t>
  </si>
  <si>
    <t>PIA TOTAL S/</t>
  </si>
  <si>
    <t>PIM TOTAL S/</t>
  </si>
  <si>
    <t>EJECUCIÓN TOTAL S/</t>
  </si>
  <si>
    <t>1: Acciones Centrales (AC)</t>
  </si>
  <si>
    <t>2: Asignaciones Presupuestarias que No Resultan en Productos (APNP)</t>
  </si>
  <si>
    <t>3: Programas Presupuestales</t>
  </si>
  <si>
    <t>PIA
POR CATEGORIA PRESUPUESTAL</t>
  </si>
  <si>
    <t>PIM
POR CATEGORIA PRESUPUESTAL</t>
  </si>
  <si>
    <t>EJECUCIÓN
POR CATEGORIA PRESUPUESTAL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</si>
  <si>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</si>
  <si>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</si>
  <si>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</si>
  <si>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</si>
  <si>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</si>
  <si>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</si>
  <si>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0147: Fortalecimiento De La Educacion Superior Tecnologica</t>
  </si>
  <si>
    <t>PIA
POR PROGRAMA PRESUPUESTAL</t>
  </si>
  <si>
    <t>PIM
POR PROGRAMA PRESUPUESTAL</t>
  </si>
  <si>
    <t>EJECUCIÓN
POR PROGRAMA PRESUPUESTAL</t>
  </si>
  <si>
    <t>FORMATO 01: INDICADORES DE GESTIÓN SEGÚN OBJETIVOS ESTRATÉGICOS INSTITUCIONALES AL 2021</t>
  </si>
  <si>
    <t>Decreto Legislativo 276 (Regimen Público)</t>
  </si>
  <si>
    <t>VARIACION 2019-2020</t>
  </si>
  <si>
    <t>2019 (PIA)</t>
  </si>
  <si>
    <t>(*) DEBE COINCIDIR CON LOS MONTOS ASIGNADOS EN LA GENERICA 1. PERSONAL Y OBLIGACIONES SOCIALES CONSIDERADAS EN EL PRESUPUESTO</t>
  </si>
  <si>
    <t>INGRESOS PERSONAL PRESUPUESTO 2019</t>
  </si>
  <si>
    <t>TOTAL INGRESO ANUAL PEA (Proyección al 31 de diciembre de  2019)</t>
  </si>
  <si>
    <t>TOTAL INGRESO ANUAL PEA (Proyección al 31 de diciembre de 2020)</t>
  </si>
  <si>
    <t>PPTO 2019 
(PIA)</t>
  </si>
  <si>
    <t>(*) DEBE COINCIDIR CON LOS MONTOS ASIGNADOS EN LA GENERICA 3. BIENES Y SERVICIOS CONSIDERADAS EN EL PRESUPUESTO 2018 - 2019 - 2020</t>
  </si>
  <si>
    <t>EJECUCIÓN S/</t>
  </si>
  <si>
    <t>PPTO 2019 (AL 30/06)</t>
  </si>
  <si>
    <t>PPTO 2019 (PROYECCI{ON 31/12)</t>
  </si>
  <si>
    <t>(*) Una línea por cada año fiscal, consignado en monto presupuestado por cada año presupuestal</t>
  </si>
  <si>
    <t>PERSONA JURIDICA (RUC)</t>
  </si>
  <si>
    <t>PERSONA NATURAL (DNI)</t>
  </si>
  <si>
    <t xml:space="preserve">    - OTROS (ESPECIFIQUE)</t>
  </si>
  <si>
    <t xml:space="preserve">       OFICIALES DE CRED. EXTERNO</t>
  </si>
  <si>
    <t>MONEDA</t>
  </si>
  <si>
    <t>FECHA DE APERTURA</t>
  </si>
  <si>
    <t>CUENTA</t>
  </si>
  <si>
    <t>BANCO / INSTITUCIÓN FINANCIERA</t>
  </si>
  <si>
    <t>CUENTAS BANCARIAS</t>
  </si>
  <si>
    <t>ESPECIFICACIONES RECURSOS PUBLICOS</t>
  </si>
  <si>
    <t>AÑO FISCAL 2018</t>
  </si>
  <si>
    <t>AÑO FISCAL 2019 (*)</t>
  </si>
  <si>
    <t>EJECUCIÓN 2018</t>
  </si>
  <si>
    <t>EJECUCIÓN 2019 (*)</t>
  </si>
  <si>
    <t>ÍNDICE DE FORMATOS</t>
  </si>
  <si>
    <t>INDICADORES DE GESTIÓN SEGÚN OBJETIVOS ESTRATÉGICOS INSTITUCIONALES AL 2021</t>
  </si>
  <si>
    <t>FORMATO Nº 1:</t>
  </si>
  <si>
    <t>FORMATO Nº 2:</t>
  </si>
  <si>
    <t>FORMATO Nº 3:</t>
  </si>
  <si>
    <t>FORMATO Nº 4:</t>
  </si>
  <si>
    <t>FORMATO Nº 5:</t>
  </si>
  <si>
    <t>FORMATO Nº 6:</t>
  </si>
  <si>
    <t>FORMATO Nº 7:</t>
  </si>
  <si>
    <t>FORMATO Nº 8:</t>
  </si>
  <si>
    <t>FORMATO Nº 9:</t>
  </si>
  <si>
    <t>FORMATO Nº 10:</t>
  </si>
  <si>
    <t>FORMATO Nº 11:</t>
  </si>
  <si>
    <t>FORMATO Nº 12:</t>
  </si>
  <si>
    <t>FORMATO Nº 13:</t>
  </si>
  <si>
    <t>FORMATO Nº 14:</t>
  </si>
  <si>
    <t>FORMATO Nº 15:</t>
  </si>
  <si>
    <t>FORMATO Nº 16:</t>
  </si>
  <si>
    <t>FORMATO Nº 17:</t>
  </si>
  <si>
    <t>FORMATO Nº 18:</t>
  </si>
  <si>
    <t>INDICADORES INSTITUCIONALES</t>
  </si>
  <si>
    <t>DISTRIBUCIÓN DEL GASTO</t>
  </si>
  <si>
    <t>GASTOS DE PERSONAL</t>
  </si>
  <si>
    <t>GASTOS EN BIENES Y SERVICIOS</t>
  </si>
  <si>
    <t>PPTO 2018 (AL 31/12)</t>
  </si>
  <si>
    <t>FORMATO 02: DISTRIBUCIÓN DEL PRESUPUESTO POR CATEGORÍA PRESUPUESTAL 2019, 2020 Y PROYECTO 2021</t>
  </si>
  <si>
    <t>2020 (*)</t>
  </si>
  <si>
    <t>2021 (**)</t>
  </si>
  <si>
    <t>(*) Proyección al 31/12/2020</t>
  </si>
  <si>
    <t>(**) Proyecto 2021</t>
  </si>
  <si>
    <t>FORMATO 03: DISTRIBUCIÓN DEL PRESUPUESTO POR FUENTE DE FINANCIAMIENTO 2019, 2020 Y PROYECTO 2021</t>
  </si>
  <si>
    <t>FORMATO 04: DISTRIBUCIÓN DEL GASTO POR UNIDADES EJECUTORAS / ENTIDAD PÚBLICA Y FUENTES DE FINANCIAMIENTO - PROYECTO 2021</t>
  </si>
  <si>
    <t>FORMATO 05: DISTRIBUCIÓN DEL PRESUPUESTO POR PROGRAMA PRESUPUESTAL 2019, 2020 Y 2021</t>
  </si>
  <si>
    <t>FORMATO 06: PROGRAMAS SOCIALES PRIORIZADOS SEGÚN EL CICLO DE VIDA POR FUENTE DE FINANCIAMIENTO 2019, 2020 Y PROYECTO 2021</t>
  </si>
  <si>
    <t>DIferencia 
(2019-2020</t>
  </si>
  <si>
    <t>Proyecto 2021</t>
  </si>
  <si>
    <t>Estimado 2020 (**)</t>
  </si>
  <si>
    <t>DIferencia 
(2020-2021)</t>
  </si>
  <si>
    <t>(*) Al 30 de junio de 2020</t>
  </si>
  <si>
    <t>(**) Estimado al 31 de diciembre de 2020</t>
  </si>
  <si>
    <t>FORMATO 07: RESUMEN POR GRUPO GENÉRICO Y FUENTES DE FINANCIAMIENTO PROYECTO 2021</t>
  </si>
  <si>
    <t>GASTO CORRIENTE 2021</t>
  </si>
  <si>
    <t>GASTO CAPITAL 2021</t>
  </si>
  <si>
    <t>SERVICIO DE DEUDA 2021</t>
  </si>
  <si>
    <t>FORMATO 08: RESUMEN DE PRESUPUESTO POR FUNCIONES PIA 2019, 2020 Y PROYECTO 2021</t>
  </si>
  <si>
    <t>Var. % (2020-2021)</t>
  </si>
  <si>
    <t>2020 (JUNIO)</t>
  </si>
  <si>
    <t>PROYECCIÓN 2021 (JUNIO)</t>
  </si>
  <si>
    <t>FORMATO 09: COMPARATIVO DEL NÚMERO DE PLAZAS EN EL PRESUPUESTO  2020 Y PROYECTO 2021</t>
  </si>
  <si>
    <t>2020 (PIA)</t>
  </si>
  <si>
    <t>2021  (PROYECTO)</t>
  </si>
  <si>
    <t>FORMATO 12: ASIGNACIÓN DE BIENES Y SERVICIOS - COMPARATIVO PRESUPUESTO 2019, 2020 Y PROYECTO 2021</t>
  </si>
  <si>
    <t>PPTO 2019 (PIM)</t>
  </si>
  <si>
    <t>PPTO 2020 
(PIA)</t>
  </si>
  <si>
    <t>PPTO 2020
(PIM 30 JUNIO)</t>
  </si>
  <si>
    <t>PPTO 2021 (PROYECTO)</t>
  </si>
  <si>
    <t>FORMATO 13: CONTRATOS DE OBRAS SUSCRITOS EN LOS AÑOS 2019 Y 2020</t>
  </si>
  <si>
    <t>FORMATO 14: PRINCIPALES ADQUISICIONES DE BIENES Y SERVICIOS - PRESUPUESTO 2019, 2020 Y PROYECTO 2021</t>
  </si>
  <si>
    <t>FORMATO 15: DETALLE DE CONSULTORIAS PERSONAS JURÍDICAS Y NATURALES - PRESUPUESTO 2019 Y 2020</t>
  </si>
  <si>
    <t>FORMATO 16: TESORERIA - RESUMEN POR GRUPO GENERICO Y FUENTES DE FINANCIAMIENTO 2019 Y 2020</t>
  </si>
  <si>
    <t>(*) Saldo al 31 de Diciembre de 2019</t>
  </si>
  <si>
    <t>(**) Saldo al 30 de Junio de 2020</t>
  </si>
  <si>
    <t>FORMATO 17: NOMBRES E INGRESOS MENSUALES DEL PERSONAL CONTRATADO FUERA DEL PAP EN LOS AÑOS FISCALES 2019 Y 2020</t>
  </si>
  <si>
    <t>FORMATO 18: ALQUILER DE INMUEBLES EN LOS AÑOS FISCALES 2019 Y 2020</t>
  </si>
  <si>
    <t>(*) = Al 30 de junio de 2020</t>
  </si>
  <si>
    <t>FORMATO 11: INGRESOS MENSUALES POR PERIODO DEL PERSONAL ACTIVO -  COMPARATIVO PRESUPUESTO 2019, 2020 Y PROYECTO 2021</t>
  </si>
  <si>
    <t>INGRESOS PERSONAL PRESUPUESTO 2020</t>
  </si>
  <si>
    <t>PROYECTO 2021</t>
  </si>
  <si>
    <t>DIFERENCIA 
(2019 -2020)</t>
  </si>
  <si>
    <t>DISTRIBUCIÓN DEL PRESUPUESTO POR CATEGORÍA PRESUPUESTAL 2019, 2020 Y PROYECTO 2021</t>
  </si>
  <si>
    <t>DISTRIBUCIÓN DEL PRESUPUESTO POR FUENTE DE FINANCIAMIENTO 2019, 2020 Y PROYECTO 2021</t>
  </si>
  <si>
    <t>DISTRIBUCIÓN DEL GASTO POR UNIDADES EJECUTORAS / ENTIDAD PÚBLICA Y FUENTES DE FINANCIAMIENTO - PROYECTO 2021</t>
  </si>
  <si>
    <t>DISTRIBUCIÓN DEL PRESUPUESTO POR PROGRAMA PRESUPUESTAL 2019, 2020 Y 2021</t>
  </si>
  <si>
    <t>PROGRAMAS SOCIALES PRIORIZADOS SEGÚN EL CICLO DE VIDA POR FUENTE DE FINANCIAMIENTO 2019, 2020 Y PROYECTO 2021</t>
  </si>
  <si>
    <t>RESUMEN POR GRUPO GENÉRICO Y FUENTES DE FINANCIAMIENTO PROYECTO 2021</t>
  </si>
  <si>
    <t>RESUMEN DE PRESUPUESTO POR FUNCIONES PIA 2019, 2020 Y PROYECTO 2021</t>
  </si>
  <si>
    <t>COMPARATIVO DEL NÚMERO DE PLAZAS EN EL PRESUPUESTO 2019, 2020 Y PROYECTO 2021</t>
  </si>
  <si>
    <t>INFORMACIÓN DE REMUNERACIONES Y NÚMERO DE PLAZAS - PRESUPUESTO 2019, 2020 Y PROYECTO 2021</t>
  </si>
  <si>
    <t>INGRESOS MENSUALES POR PERIODO DEL PERSONAL ACTIVO -  COMPARATIVO PRESUPUESTO 2019, 2020 Y PROYECTO 2021</t>
  </si>
  <si>
    <t>ASIGNACIÓN DE BIENES Y SERVICIOS - COMPARATIVO PRESUPUESTO 2019, 2020 Y PROYECTO 2021</t>
  </si>
  <si>
    <t>CONTRATOS DE OBRAS SUSCRITOS EN LOS AÑOS 2019 Y 2020</t>
  </si>
  <si>
    <t>PRINCIPALES ADQUISICIONES DE BIENES Y SERVICIOS - PRESUPUESTO 2019, 2020 Y PROYECTO 2021</t>
  </si>
  <si>
    <t>DETALLE DE CONSULTORIAS PERSONAS JURÍDICAS Y NATURALES - PRESUPUESTO 2019, 2020 Y PROYECTO 2021</t>
  </si>
  <si>
    <t>TESORERIA - RESUMEN POR GRUPO GENERICO Y FUENTES DE FINANCIAMIENTO 2019 Y 2020</t>
  </si>
  <si>
    <t>NOMBRES E INGRESOS MENSUALES DEL PERSONAL CONTRATADO FUERA DEL PAP EN LOS AÑOS FISCALES 2019 Y 2020</t>
  </si>
  <si>
    <t>ALQUILER DE INMUEBLES EN LOS AÑOS FISCALES 2019 Y 2020</t>
  </si>
  <si>
    <t>GOB. REGIONAL: 464 GOBIERNO REGIONAL DE LA PROVINCIA CONSTITUCIONAL DEL CALLAO</t>
  </si>
  <si>
    <t>PIA 
POR FUENTE DE FINANCIAMIENTO - RECURSOS ORDINARIOS</t>
  </si>
  <si>
    <t>PIM 
POR FUENTE DE FINANCIAMIENTO - RECURSOS ORDINARIOS</t>
  </si>
  <si>
    <t>EJECUCIÓN 
POR FUENTE DE FINANCIAMIENTO - RECURSOS ORDINARIOS</t>
  </si>
  <si>
    <t>PIA 
POR FUENTE DE FINANCIAMIENTO - RECURSOS DIRECTAMENTE RECAUDADOS</t>
  </si>
  <si>
    <t>PIM 
POR FUENTE DE FINANCIAMIENTO - RECURSOS DIRECTAMENTE RECAUDADOS</t>
  </si>
  <si>
    <t>EJECUCIÓN 
POR FUENTE DE FINANCIAMIENTO - RECURSOS DIRECTAMENTE RECAUDADOS</t>
  </si>
  <si>
    <t>PIA 
POR FUENTE DE FINANCIAMIENTO - RECURSOS POR OPERACIONES OFICIALES DE CREDITO</t>
  </si>
  <si>
    <t>PIM 
POR FUENTE DE FINANCIAMIENTO - RECURSOS POR OPERACIONES OFICIALES DE CREDITO</t>
  </si>
  <si>
    <t>EJECUCIÓN 
POR FUENTE DE FINANCIAMIENTO - RECURSOS POR OPERACIONES OFICIALES DE CREDITO</t>
  </si>
  <si>
    <t>PIA 
POR FUENTE DE FINANCIAMIENTO - DONACIONES Y TRANSFERENCIAS</t>
  </si>
  <si>
    <t>PIM 
POR FUENTE DE FINANCIAMIENTO - DONACIONES Y TRANSFERENCIAS</t>
  </si>
  <si>
    <t>EJECUCIÓN 
POR FUENTE DE FINANCIAMIENTO - DONACIONES Y TRANSFERENCIAS</t>
  </si>
  <si>
    <t>PIA 
POR FUENTE DE FINANCIAMIENTO - RECURSOS DETERMINADOS</t>
  </si>
  <si>
    <t>PIM 
POR FUENTE DE FINANCIAMIENTO - RECURSOS DETERMINADOS</t>
  </si>
  <si>
    <t>EJECUCIÓN 
POR FUENTE DE FINANCIAMIENTO - RECURSOS DETERMINADOS</t>
  </si>
  <si>
    <t>U.E.:</t>
  </si>
  <si>
    <t xml:space="preserve">UE: </t>
  </si>
  <si>
    <t>001. GOBIERNO REGIONAL CALLAO</t>
  </si>
  <si>
    <t>301. COLEGIO MILITAR LEONCIO PRADO</t>
  </si>
  <si>
    <t>300. EDUCACION CALLAO</t>
  </si>
  <si>
    <t>302. EDUCACION VENTANILLA</t>
  </si>
  <si>
    <t>303. COMITÉ DE ADMINISTRACION DEL FONDO EDUCATIVO</t>
  </si>
  <si>
    <t>400. DIRECCION DE SALUD I CALLAO</t>
  </si>
  <si>
    <t>401. HOSPITAL DANIEL A. CARRION</t>
  </si>
  <si>
    <t>402. HOSPITAL DE APOYO SAN JOSE</t>
  </si>
  <si>
    <t>403. HOSPITAL DE VENTANILLA</t>
  </si>
  <si>
    <t>404. HOSPITAL DE REHABILITACION DEL CALLAO</t>
  </si>
  <si>
    <t>RECURSOS ORDINARIOS</t>
  </si>
  <si>
    <t>RECURSOS DIRECTAMENTE RECAUDADOS</t>
  </si>
  <si>
    <t>RECURSOS POR OPERACIONES OFICIALES DE CREDITO</t>
  </si>
  <si>
    <t>DONACIONES Y TRANSFERENCIAS</t>
  </si>
  <si>
    <t>RECURSOS DETERMINADOS</t>
  </si>
  <si>
    <t>0051: Prevención y Tratamiento del Consumo de Drogas</t>
  </si>
  <si>
    <t>0068: Reducción de Vulnerabilidad y atención de Emergencias por Desastres</t>
  </si>
  <si>
    <t>0082: Programa Nacional de Saneamiento Urbano</t>
  </si>
  <si>
    <t>0090: Logros de Aprendizaje de Estudiantes de la Educación Básica Regular</t>
  </si>
  <si>
    <t>0101: Incremento de la Práctica de Actividades Físicas, Deportivas y Recreativas en la Población Peruana</t>
  </si>
  <si>
    <t>0103: Fortalecimiento de las Condiciones Laborales</t>
  </si>
  <si>
    <t>0104: Reducción de la Mortalidad por Emergencias y Urgencias Médicas</t>
  </si>
  <si>
    <t>0106: Inclusión de Niños, Niñas y Jóvenes con Discapacidad en la Educación Básica y Técnico Productiva</t>
  </si>
  <si>
    <t xml:space="preserve">0107: Mejora  de la Formación en Carreras Docentes en Institutos de Educación superior No Universitaria </t>
  </si>
  <si>
    <t>0129: Prevención y Manejo de Condiciones Secundarias de Salud en Personas con Discapacidad</t>
  </si>
  <si>
    <t>0131: Control y Prevención en Salud Mental</t>
  </si>
  <si>
    <t>0138: Reducción del Costo,Tiempo e Inseguridad en el Sistema de Transporte</t>
  </si>
  <si>
    <t>0150: Incremento en el Acceso de la Población a los Servicios Educativos Públicos de la Educación Básica</t>
  </si>
  <si>
    <t>1002: Productos Específicos para Reducción de la Violencia Contra la Mujer</t>
  </si>
  <si>
    <t>0030: Reducción de Delitos y Faltas que afectan la Seguridad Ciudadana</t>
  </si>
  <si>
    <t>0091: Incremento en el Acceso de la Población de 3 a 16 años a los Servicios Educativos Públicos de la Educación Básica Regular</t>
  </si>
  <si>
    <t xml:space="preserve">0121: Mejora de la Articulación de Pequeños Productores al Mercado </t>
  </si>
  <si>
    <t>0127: Mejora de la Competitividad de los Destinos Turísticos</t>
  </si>
  <si>
    <t>0080: Lucha contra la Violencia Familiar</t>
  </si>
  <si>
    <t>0140: Desarrollo y Promoción de las Artes e Industrias Culturales</t>
  </si>
  <si>
    <t>0144: Conservación y Usos Sostenible de Ecosistemas para la Provisión de Servicios Ecosistémicos</t>
  </si>
  <si>
    <t>0126: Formalización Minera de la Pequeña Minería y Minería Artesanal</t>
  </si>
  <si>
    <t>1. ALIMENTOS Y BEBIDAS</t>
  </si>
  <si>
    <t>1. VIAJES</t>
  </si>
  <si>
    <t>10. SUMINISTROS PARA USO AGROPECUARIO, FORESTAL Y VETERINARIO</t>
  </si>
  <si>
    <t>11. SUMINISTROS PARA MANTENIMIENTO Y REPARACION</t>
  </si>
  <si>
    <t>2. SERVICIOS BASICOS, COMUNICACIONES, PUBLICIDAD Y DIFUSION</t>
  </si>
  <si>
    <t>2. VESTUARIOS Y TEXTILES</t>
  </si>
  <si>
    <t>3. COMBUSTIBLES, CARBURANTES, LUBRICANTES Y AFINES</t>
  </si>
  <si>
    <t>3. SERVICIOS DE LIMPIEZA, SEGURIDAD Y VIGILANCIA</t>
  </si>
  <si>
    <t>4. SERVICIO DE MANTENIMIENTO, ACONDICIONAMIENTO Y  REPARACIONES</t>
  </si>
  <si>
    <t>5. ALQUILERES DE MUEBLES E INMUEBLES</t>
  </si>
  <si>
    <t>5. MATERIALES Y  UTILES</t>
  </si>
  <si>
    <t>6. REPUESTOS Y ACCESORIOS</t>
  </si>
  <si>
    <t>6. SERVICIOS ADMINISTRATIVOS, FINANCIEROS Y DE SEGUROS</t>
  </si>
  <si>
    <t>7. ENSERES</t>
  </si>
  <si>
    <t>7. SERVICIOS PROFESIONALES Y TECNICOS</t>
  </si>
  <si>
    <t>8. CONTRATO ADMINISTRATIVO DE SERVICIOS</t>
  </si>
  <si>
    <t>8. SUMINISTROS MEDICOS</t>
  </si>
  <si>
    <t>9. LOCACIÓN DE SERVICIOS RELACIONADAS AL ROL DE LA ENTIDAD</t>
  </si>
  <si>
    <t>9. MATERIALES Y UTILES DE ENSEÑANZA</t>
  </si>
  <si>
    <t>99. COMPRA DE OTROS BIENES</t>
  </si>
  <si>
    <t>Diferencia PIA (2020-2019)</t>
  </si>
  <si>
    <t>Variación % (2020-2019)</t>
  </si>
  <si>
    <t>Diferencia PIA (2021-2020)</t>
  </si>
  <si>
    <t>Variación % (2021-2020)</t>
  </si>
  <si>
    <t>001 REGION CALLAO</t>
  </si>
  <si>
    <t>00</t>
  </si>
  <si>
    <t>D.LEG 1057-CAS</t>
  </si>
  <si>
    <t>ASISTENTE ADMINISTRATIVO</t>
  </si>
  <si>
    <t>25640334</t>
  </si>
  <si>
    <t>ACOSTA ELIAS, GISELLE YEAN</t>
  </si>
  <si>
    <t>SECRETARIA</t>
  </si>
  <si>
    <t>TITULADO</t>
  </si>
  <si>
    <t>PSICÓLOGO</t>
  </si>
  <si>
    <t>46847902</t>
  </si>
  <si>
    <t>ACOSTA ESPICHAN, LILIAN MIRELLA</t>
  </si>
  <si>
    <t>NR</t>
  </si>
  <si>
    <t>COORDINADOR DE TRANSPORTE TURISTICO ACUATICO</t>
  </si>
  <si>
    <t>43523375</t>
  </si>
  <si>
    <t>AGUIRRE JACOBY, SERGIO EDUARDO</t>
  </si>
  <si>
    <t xml:space="preserve">CIENCIAS MARITIMAS </t>
  </si>
  <si>
    <t>MAGISTER</t>
  </si>
  <si>
    <t>43370043</t>
  </si>
  <si>
    <t>ALARCON MONZON, MELCHOR DANIEL</t>
  </si>
  <si>
    <t>EVALUADOR PARA MANEJO</t>
  </si>
  <si>
    <t>07756200</t>
  </si>
  <si>
    <t>ALARCON VERASTEGUI, JOSE IRWIN</t>
  </si>
  <si>
    <t>-</t>
  </si>
  <si>
    <t>SECUNDARIA COMPLETA</t>
  </si>
  <si>
    <t>ESPECIALISTA EN REMUNERACIONES</t>
  </si>
  <si>
    <t>43884201</t>
  </si>
  <si>
    <t>ALOR MORALES, ROSA ISELA</t>
  </si>
  <si>
    <t xml:space="preserve">CONTADOR PUBLICO </t>
  </si>
  <si>
    <t>ESPECIALISTA EN REDES Y COMPUTADORAS</t>
  </si>
  <si>
    <t>25766042</t>
  </si>
  <si>
    <t>ALVITES SANCHEZ, ALDO GABRIEL</t>
  </si>
  <si>
    <t>OPERADOR DE SERVICIO</t>
  </si>
  <si>
    <t>25709079</t>
  </si>
  <si>
    <t>AMAYA PANTA, WILMER</t>
  </si>
  <si>
    <t>CONTADOR</t>
  </si>
  <si>
    <t>41339942</t>
  </si>
  <si>
    <t>ANDRADE ROMERO, RENZO CARLO</t>
  </si>
  <si>
    <t>OPERADOR</t>
  </si>
  <si>
    <t>47933252</t>
  </si>
  <si>
    <t>ANGULO DEL AGUILA, ESTEFFANY DAYANNE</t>
  </si>
  <si>
    <t>ADMINISTRACIÓN DE NEGOCIOS INTERNACIONALES</t>
  </si>
  <si>
    <t>BACHILLER</t>
  </si>
  <si>
    <t>ABOGADO III</t>
  </si>
  <si>
    <t>46138844</t>
  </si>
  <si>
    <t>ARANA VILLARAN, KARLA PATRICIA</t>
  </si>
  <si>
    <t>BACHILLER EN ARQUITECTURA</t>
  </si>
  <si>
    <t>47622105</t>
  </si>
  <si>
    <t>ARANSAENZ RUIZ, MARIA FERNANDA</t>
  </si>
  <si>
    <t>ASISTENTE LEGAL</t>
  </si>
  <si>
    <t>44543341</t>
  </si>
  <si>
    <t>ARMIJO HERRERA, JAVIER</t>
  </si>
  <si>
    <t>ASISTENTE EN CONTROL DE PERSONAL</t>
  </si>
  <si>
    <t>25762041</t>
  </si>
  <si>
    <t>ASTUDILLO ALIAGA, CARLO GIOVANI</t>
  </si>
  <si>
    <t>COORDINADOR DE EVENTOS DEPORTIVOS</t>
  </si>
  <si>
    <t>70353818</t>
  </si>
  <si>
    <t>ATAUCURI RODRIGUEZ, GERMAN ANTONIO</t>
  </si>
  <si>
    <t>18</t>
  </si>
  <si>
    <t>ESPECIALISTA EN DESARROLLO INMOBILIARIO Y PROCESOS</t>
  </si>
  <si>
    <t>71454762</t>
  </si>
  <si>
    <t>AYALA GOMEZ, RAUL ALEJANDRO</t>
  </si>
  <si>
    <t>COORDINADOR DE PRENSA</t>
  </si>
  <si>
    <t>72679716</t>
  </si>
  <si>
    <t>BACA TUPAC YUPANQUI, MERCEDES GIANNINA</t>
  </si>
  <si>
    <t>CIENCIAS DE LA COMUNICACIÓN</t>
  </si>
  <si>
    <t>09727767</t>
  </si>
  <si>
    <t>BADAJUZ MANDUJANO, ELVIS DAMIAN</t>
  </si>
  <si>
    <t>ABOGADA</t>
  </si>
  <si>
    <t>31039946</t>
  </si>
  <si>
    <t>BARBARAN ALVAREZ, FANNY</t>
  </si>
  <si>
    <t>ABOGADO</t>
  </si>
  <si>
    <t xml:space="preserve">LICENCIADO </t>
  </si>
  <si>
    <t>09638111</t>
  </si>
  <si>
    <t>BEDON SOLORZANO, ISSELA JESSICA</t>
  </si>
  <si>
    <t>TECNICO ADMINISTRATIVO</t>
  </si>
  <si>
    <t>25847039</t>
  </si>
  <si>
    <t>BOZZETA JIMENEZ, ERNESTO ISAIAS</t>
  </si>
  <si>
    <t>OPERADOR TELEFONICO</t>
  </si>
  <si>
    <t>75486734</t>
  </si>
  <si>
    <t>BRAVO SILVA, GONZALO ALEXIS</t>
  </si>
  <si>
    <t>APOYO ADMINISTRATIVO</t>
  </si>
  <si>
    <t>06106257</t>
  </si>
  <si>
    <t>BRICEÑO SANCHEZ, GILMER HUMBERTO</t>
  </si>
  <si>
    <t>46760904</t>
  </si>
  <si>
    <t>BUSTAMANTE VALLAS, ANA MELISA</t>
  </si>
  <si>
    <t>DERECHO</t>
  </si>
  <si>
    <t>CHOFER</t>
  </si>
  <si>
    <t>06686282</t>
  </si>
  <si>
    <t>CABALLERO REYES, GILBERT MAXIMO</t>
  </si>
  <si>
    <t>ESPECIALISTA EN GESTIÓN PÚBLICA Y CONTRATACIONES CON EL ESTADO</t>
  </si>
  <si>
    <t>46021304</t>
  </si>
  <si>
    <t>CABRERA HOLGUIN, JOSE ANTONIO</t>
  </si>
  <si>
    <t>10373204</t>
  </si>
  <si>
    <t>CAMPOS GUMEZ, SARA FANY</t>
  </si>
  <si>
    <t>25847755</t>
  </si>
  <si>
    <t>CARDOZA ORBEGOSO, MIRTHA HILARIA</t>
  </si>
  <si>
    <t>PROFESIONAL</t>
  </si>
  <si>
    <t>06093031</t>
  </si>
  <si>
    <t>CARRANZA ELGUERA, ALVARO GILMER</t>
  </si>
  <si>
    <t>ECONOMISTA</t>
  </si>
  <si>
    <t>25646130</t>
  </si>
  <si>
    <t>CASTILLO RODRIGUEZ, JOHNNY HENRY</t>
  </si>
  <si>
    <t>40403910</t>
  </si>
  <si>
    <t>CASTILLO VILLEGAS, CARLOS MARTIN</t>
  </si>
  <si>
    <t>ASISTENTE DE CAMPO</t>
  </si>
  <si>
    <t>25576812</t>
  </si>
  <si>
    <t>CHAPILLIQUEN SULCAHUAMAN, ISABEL CRISTINA</t>
  </si>
  <si>
    <t>25712563</t>
  </si>
  <si>
    <t>CHERO ORTIZ, JUAN FRANCISCO</t>
  </si>
  <si>
    <t>25700975</t>
  </si>
  <si>
    <t>CHIGNE SANCHEZ, JESUS MOISES</t>
  </si>
  <si>
    <t>PSICOLOGO</t>
  </si>
  <si>
    <t>40304262</t>
  </si>
  <si>
    <t>CHILON VERA, JOSE ANTONIO</t>
  </si>
  <si>
    <t>AUXILIAR DE ARCHIVO</t>
  </si>
  <si>
    <t>45493144</t>
  </si>
  <si>
    <t>CHIROQUE ALMERCO, JEFFREY CHRISTOPHER</t>
  </si>
  <si>
    <t>ARCHIVISTICA Y GESTION DOCUMENTAL</t>
  </si>
  <si>
    <t>TECNICO</t>
  </si>
  <si>
    <t>TECNICO EN TRANSPORTE Y SERVICIOS AUXILIARES</t>
  </si>
  <si>
    <t>40212060</t>
  </si>
  <si>
    <t>CHOY ABANTO, DANTE DANIEL</t>
  </si>
  <si>
    <t>ASISTENTE TECNICO EN CONSTRUCCION CIVIL</t>
  </si>
  <si>
    <t>43634461</t>
  </si>
  <si>
    <t>CORDOVA CORDERO, FELIX AUGUSTO</t>
  </si>
  <si>
    <t>09641445</t>
  </si>
  <si>
    <t>CORNEJO VERA, HENRY</t>
  </si>
  <si>
    <t>MECANICO AUTOMOTRIZ</t>
  </si>
  <si>
    <t>40594447</t>
  </si>
  <si>
    <t>CORONADO LOPEZ, RONALD EBER</t>
  </si>
  <si>
    <t>ADMINISTRACIÓN, FINANZAS Y NEGOCIOS GLOBALES</t>
  </si>
  <si>
    <t>ASISTENTE ADMINISTRATIVO II</t>
  </si>
  <si>
    <t>41461367</t>
  </si>
  <si>
    <t>CORTEZ GUEVARA, NANCY MERCEDES</t>
  </si>
  <si>
    <t>ADMINISTRADOR</t>
  </si>
  <si>
    <t>70570054</t>
  </si>
  <si>
    <t>CRESPO ROJAS, CAROLAIN LENNITA</t>
  </si>
  <si>
    <t>09983070</t>
  </si>
  <si>
    <t>CRISTOBAL LUIS, ELIZABETH FLORINDA</t>
  </si>
  <si>
    <t>07433779</t>
  </si>
  <si>
    <t>CUBA MORENO, ELIZABETH VIOLETA</t>
  </si>
  <si>
    <t>25802005</t>
  </si>
  <si>
    <t>CUENCA PUJALLA, JENNY</t>
  </si>
  <si>
    <t>SUPERVISOR EN TURISMO</t>
  </si>
  <si>
    <t>70268742</t>
  </si>
  <si>
    <t>DE LA CRUZ ANAMPA, SANDRA TERESA</t>
  </si>
  <si>
    <t>ADMINISTRACION DE EMPRESAS</t>
  </si>
  <si>
    <t>ABOGADO CONCILIADOR</t>
  </si>
  <si>
    <t>42297321</t>
  </si>
  <si>
    <t>DE LA CRUZ LEZANO, NOELIA SMITH</t>
  </si>
  <si>
    <t>ASISTENTE CONTABLE GIRADOR</t>
  </si>
  <si>
    <t>16124715</t>
  </si>
  <si>
    <t>DE LA CRUZ RIVERA, EMERSON JARET</t>
  </si>
  <si>
    <t>TÉCNICO EN ARCHIVO</t>
  </si>
  <si>
    <t>40147515</t>
  </si>
  <si>
    <t>DEL ROSARIO CORNEJO, DANIEL JOSE</t>
  </si>
  <si>
    <t>BIOLOGO</t>
  </si>
  <si>
    <t>SUPERVISOR DE ACTIVIDADES DE MAQUINARIA PESADA</t>
  </si>
  <si>
    <t>25554075</t>
  </si>
  <si>
    <t>DELGADO MOSQUERA, WILLIAMS HIPOLITO</t>
  </si>
  <si>
    <t>08719433</t>
  </si>
  <si>
    <t>DIAZ CELIS, JORGE</t>
  </si>
  <si>
    <t>27742927</t>
  </si>
  <si>
    <t>DIAZ CORDOVA, FELICITA SOFIA</t>
  </si>
  <si>
    <t>15299036</t>
  </si>
  <si>
    <t>DIAZ VEGA, NAYRA KARINA</t>
  </si>
  <si>
    <t>SECRETARIADO EJECUTIVO CASTELLANO</t>
  </si>
  <si>
    <t>44394821</t>
  </si>
  <si>
    <t>DIOSES LEANDRO, MARIA CRISTINA</t>
  </si>
  <si>
    <t>41205298</t>
  </si>
  <si>
    <t>ESCOBAR SARMIENTO, ERIK</t>
  </si>
  <si>
    <t>COORDINADOR GENERAL DEL COMITÉ REGIONAL DE SEGURIDAD CIUDADANA DEL CORESEC</t>
  </si>
  <si>
    <t>43282074</t>
  </si>
  <si>
    <t>ESPINOZA OLCAY, EDGAR JESUS</t>
  </si>
  <si>
    <t>NOTIFICADOR</t>
  </si>
  <si>
    <t>09043863</t>
  </si>
  <si>
    <t>ESPINOZA ROJAS, RUBEN WENCESLAO</t>
  </si>
  <si>
    <t>DIRECTOR REGIONAL DE TRABAJO Y PROMOCION DEL EMPLEO DEL CALLAO</t>
  </si>
  <si>
    <t>25729404</t>
  </si>
  <si>
    <t>ESQUIVEL TORNERO, JORGE EDWARDS</t>
  </si>
  <si>
    <t>ASISTENTE EN PROYECTOS DE TURISMO</t>
  </si>
  <si>
    <t>40236930</t>
  </si>
  <si>
    <t>ESTELA VILLENA, MARILU CARINA</t>
  </si>
  <si>
    <t>TURISMO Y HOTELERIA</t>
  </si>
  <si>
    <t>ESPECIALISTA EN CONTROL PREVIO Y PRESUPUESTAL</t>
  </si>
  <si>
    <t>10809546</t>
  </si>
  <si>
    <t>FARFAN ORTEGA, LUCY MABEL</t>
  </si>
  <si>
    <t>80183520</t>
  </si>
  <si>
    <t>FIGUEROA HAYASHI, HECTOR FABIAN</t>
  </si>
  <si>
    <t>45603249</t>
  </si>
  <si>
    <t>FLORES ABANTO, OLIVIA IZABEL</t>
  </si>
  <si>
    <t>ESPECIALISTA EN CONTROL PREVIO</t>
  </si>
  <si>
    <t>09444662</t>
  </si>
  <si>
    <t>FLORES FERNANDEZ, CARLOS ALBERTO</t>
  </si>
  <si>
    <t>41490743</t>
  </si>
  <si>
    <t>FLORES VALERIO, DANIEL EDGARDO</t>
  </si>
  <si>
    <t>INGENIERA</t>
  </si>
  <si>
    <t>21487556</t>
  </si>
  <si>
    <t>FLORES VILLAGARAY, GABRIELA ROSARIO</t>
  </si>
  <si>
    <t>INGENIERO</t>
  </si>
  <si>
    <t>ESPECIALISTA EN EVALUACION</t>
  </si>
  <si>
    <t>25756031</t>
  </si>
  <si>
    <t>FREUNDT ALFARO, RICARDO FEDERICO</t>
  </si>
  <si>
    <t>INGENIERO CIVIL</t>
  </si>
  <si>
    <t>42963263</t>
  </si>
  <si>
    <t>FUENTES LOAYZA, LUIS WILLIAM</t>
  </si>
  <si>
    <t>GAITAN BERNABE, ANIBERTO(ESPECIALISTA EN TOPOGRAFIA)</t>
  </si>
  <si>
    <t>70213620</t>
  </si>
  <si>
    <t>GAITAN BERNABE, ANIBERTO</t>
  </si>
  <si>
    <t>ESPECIALISTA EN GESTIÓN EDUCATIVA</t>
  </si>
  <si>
    <t>20121555</t>
  </si>
  <si>
    <t>GALVEZ GAMARRA, CARMEN MUJER</t>
  </si>
  <si>
    <t>EDUCACION - ESPEC. BIOLOGIA Y QUIMICA Y CIENCIAS RELIGIOSAS</t>
  </si>
  <si>
    <t>INGENIERO AMBIENTAL</t>
  </si>
  <si>
    <t>44984844</t>
  </si>
  <si>
    <t>GALVEZ GAMARRA, MARICRUZ ESPERANZA</t>
  </si>
  <si>
    <t>INGENIERIA FORESTAL Y AMBIENTAL</t>
  </si>
  <si>
    <t>ASISTENTE ARCHIVISTICO</t>
  </si>
  <si>
    <t>25519127</t>
  </si>
  <si>
    <t>GARCIA CORDERO DE TORRES, CECILIA FELIPA</t>
  </si>
  <si>
    <t>AUXILIAR DE CAMPO</t>
  </si>
  <si>
    <t>71531422</t>
  </si>
  <si>
    <t>GARRIDO SUAREZ, JOSE ANTONIO</t>
  </si>
  <si>
    <t>25788387</t>
  </si>
  <si>
    <t>GONZALES GUZMAN, ROSA CLOTILDE</t>
  </si>
  <si>
    <t>SECRETARIADO EJECUTIVO COMPUTAQRIZADO</t>
  </si>
  <si>
    <t>ESPECIALISTA EN PROYECTOS</t>
  </si>
  <si>
    <t>40858729</t>
  </si>
  <si>
    <t>GUERRA MAGUIÑA, ABEL</t>
  </si>
  <si>
    <t>INGENIERO INDUSTRIAL</t>
  </si>
  <si>
    <t>25467980</t>
  </si>
  <si>
    <t>GUILLEN PRADO, ROSA CARMEN</t>
  </si>
  <si>
    <t>48374630</t>
  </si>
  <si>
    <t>GUZMAN CHAVEZ, PATRICIA FIORELLA</t>
  </si>
  <si>
    <t xml:space="preserve">TECNICO </t>
  </si>
  <si>
    <t>74160465</t>
  </si>
  <si>
    <t>HERNANDEZ CASTILLO, BRAYAN</t>
  </si>
  <si>
    <t>COORDINADOR DE DEFENSA CIVIL</t>
  </si>
  <si>
    <t>43332218</t>
  </si>
  <si>
    <t>HINOJOSA GAVIDIA, FLAVIO CARLOS</t>
  </si>
  <si>
    <t>43960969</t>
  </si>
  <si>
    <t>HOLGUIN PANTA, JOSE JHONATAN</t>
  </si>
  <si>
    <t>47132160</t>
  </si>
  <si>
    <t>HUALLANCA ORTIZ, NATALIA MILAGROS</t>
  </si>
  <si>
    <t>09356980</t>
  </si>
  <si>
    <t>HUAYHUA POLICARPO, MARTIN MARIO</t>
  </si>
  <si>
    <t>71782528</t>
  </si>
  <si>
    <t>IBARCENA PRADO, LIZETH ESTEFANY</t>
  </si>
  <si>
    <t>25776796</t>
  </si>
  <si>
    <t>IZAGUIRRE RODRIGUEZ, SANDRO DAVID</t>
  </si>
  <si>
    <t>25667137</t>
  </si>
  <si>
    <t>JAUREGUI TAPIA DE VILLAVICENCIO, JUANA GENOVEVA</t>
  </si>
  <si>
    <t>25805045</t>
  </si>
  <si>
    <t>JIMENEZ CRUZ VDA. DE ELESCANO, FRANCISCA DONATILA</t>
  </si>
  <si>
    <t>SUPERVISOR DE PLATAFORMA PRESENCIAL</t>
  </si>
  <si>
    <t>40709849</t>
  </si>
  <si>
    <t>JIMENEZ MENACHE, JEANETTE PATRICIA</t>
  </si>
  <si>
    <t>CIENCIAS ADMINISTRATIVAS</t>
  </si>
  <si>
    <t>40825925</t>
  </si>
  <si>
    <t>LA ROSA GALLANGOS, LUIS ALBERTO</t>
  </si>
  <si>
    <t>ESPECIALISTA EN PROYECTOS DE INVERSION</t>
  </si>
  <si>
    <t>23560325</t>
  </si>
  <si>
    <t>LANDEO AUCCAPIÑA, JUAN</t>
  </si>
  <si>
    <t>PROFESIONAL EN O.C.I.</t>
  </si>
  <si>
    <t>16491054</t>
  </si>
  <si>
    <t>LEON BARTUREN, JULIO NICANOR</t>
  </si>
  <si>
    <t>ABOGADO EN LA SECRETARIA TÉCNICA DE LAS AUTORIDADES DE LOS ÓRGANOS INSTRUCTORES DEL PROCEDIMIENTO ADMINISTRATIVO DISCIPLINARIO DEL GOBIERNO REGIONAL DEL CALLAO</t>
  </si>
  <si>
    <t>06643357</t>
  </si>
  <si>
    <t>LEON GARAY, OSCAR ZENON</t>
  </si>
  <si>
    <t>PROFESIONAL EN DERECHO</t>
  </si>
  <si>
    <t>10739945</t>
  </si>
  <si>
    <t>LEON VELASQUEZ, LYS MONICA</t>
  </si>
  <si>
    <t>ASISTENTE CONTABLE</t>
  </si>
  <si>
    <t>41823991</t>
  </si>
  <si>
    <t>LETONA ESCUDERO, MARCO ANTONIO</t>
  </si>
  <si>
    <t>76410687</t>
  </si>
  <si>
    <t>LLONTOP DIAZ, JUNIOR AUGUSTO</t>
  </si>
  <si>
    <t>GRADO DE BACHILLER</t>
  </si>
  <si>
    <t>08155059</t>
  </si>
  <si>
    <t>LOPEZ URIBE, ALBERTO ANDRES</t>
  </si>
  <si>
    <t>73192797</t>
  </si>
  <si>
    <t>LUCHO TORRES, JHONATAN ALEXIS</t>
  </si>
  <si>
    <t>10622374</t>
  </si>
  <si>
    <t>LUNA ABARCA, DINA</t>
  </si>
  <si>
    <t>ASISTENTE DE MARKETING E IMAGEN INSTITUCIONAL</t>
  </si>
  <si>
    <t>76311317</t>
  </si>
  <si>
    <t>LUNA YARANGA, ESTRELLA DE MARYCIELO</t>
  </si>
  <si>
    <t xml:space="preserve">LICENCIADA </t>
  </si>
  <si>
    <t>25795152</t>
  </si>
  <si>
    <t>LUYO BARAHONA, WALTER JESUS</t>
  </si>
  <si>
    <t>08171179</t>
  </si>
  <si>
    <t>MALPARTIDA CHANG, ERICK MARCELO</t>
  </si>
  <si>
    <t>INGENIERIA ELECTRONICA</t>
  </si>
  <si>
    <t>07869195</t>
  </si>
  <si>
    <t>MALQUI CAHUI, ANTONIO</t>
  </si>
  <si>
    <t>TECNICO EN INSTALACION Y CONFIGURACION DE RADIOS, ANTENAS DE COMUNICACION Y SOPORTE TECNICO</t>
  </si>
  <si>
    <t>40083480</t>
  </si>
  <si>
    <t>MAMANI AROTUMA, LUIS FELIPE</t>
  </si>
  <si>
    <t>06011382</t>
  </si>
  <si>
    <t>MARIN TORRES, MIGUEL</t>
  </si>
  <si>
    <t>ASISTENTE ESTADISTICO</t>
  </si>
  <si>
    <t>08656979</t>
  </si>
  <si>
    <t>MARTINEZ ARAUJO, HECTOR MARIANO</t>
  </si>
  <si>
    <t>41769321</t>
  </si>
  <si>
    <t>MARTINEZ FERNANDEZ, JESSICA PAOLA</t>
  </si>
  <si>
    <t>44357509</t>
  </si>
  <si>
    <t>MELENDEZ NARIO, JULISSA SECIBEL</t>
  </si>
  <si>
    <t>25779742</t>
  </si>
  <si>
    <t>MENDIOLA CARRILLO, MILAGROS MERCEDES DAMIANA</t>
  </si>
  <si>
    <t>ASISTENTE ADMINISTRATIVO FINANCIERO</t>
  </si>
  <si>
    <t>42190444</t>
  </si>
  <si>
    <t>MERCADO ZARATE, JOHNATHAN ALEJANDRO</t>
  </si>
  <si>
    <t>71980804</t>
  </si>
  <si>
    <t>MEZA DIAZ, MIGUEL FERNANDO</t>
  </si>
  <si>
    <t>40858539</t>
  </si>
  <si>
    <t>MEZA LAYANGO, HERBERTH</t>
  </si>
  <si>
    <t>ASISTENTE EN PSICOLOGIA</t>
  </si>
  <si>
    <t>46790566</t>
  </si>
  <si>
    <t>MEZA TINOCO, OSCAR EDUARDO</t>
  </si>
  <si>
    <t>ABOGADO II</t>
  </si>
  <si>
    <t>07623526</t>
  </si>
  <si>
    <t>MIRANDA RAMIREZ, MONICA ROBERTHA</t>
  </si>
  <si>
    <t>45140344</t>
  </si>
  <si>
    <t>MOGROVEJO CHAUCA, MARCOS PIERO</t>
  </si>
  <si>
    <t>25498745</t>
  </si>
  <si>
    <t>MONTEVERDE DE MATSUO, LUZ ESMERALDA</t>
  </si>
  <si>
    <t>25492530</t>
  </si>
  <si>
    <t>MORA PUMA, CARLOS ALEJANDRO</t>
  </si>
  <si>
    <t>SECRETARIA EJECUTIVA</t>
  </si>
  <si>
    <t>47248493</t>
  </si>
  <si>
    <t>MORALES ARROYO, JOSELYN JUANA</t>
  </si>
  <si>
    <t>09852820</t>
  </si>
  <si>
    <t>MORALES CORDOVA, RONALD CARLOS</t>
  </si>
  <si>
    <t>OPERADOR ADMINISTRATIVO</t>
  </si>
  <si>
    <t>74221812</t>
  </si>
  <si>
    <t>MORALES SANCHEZ, RENATTO STEPHANO</t>
  </si>
  <si>
    <t>25539343</t>
  </si>
  <si>
    <t>MOREYRA VARELA, GLORIA MARIA</t>
  </si>
  <si>
    <t>SECRETARIADO EJECUTIVO</t>
  </si>
  <si>
    <t>TÉCNICO ESPECIALIZADO EN ELECTRICIDAD PARA MANTENIMIENTO DE TORRES DE COMUNICACIÓN Y SOPORTE TÉCNICO</t>
  </si>
  <si>
    <t>07766618</t>
  </si>
  <si>
    <t>MORI PINEDO, JOSE MANUEL</t>
  </si>
  <si>
    <t>ASISTENTE LEGAL ADMINISTRATIVO</t>
  </si>
  <si>
    <t>45338882</t>
  </si>
  <si>
    <t>MOSANAPON ACOSTA, JOHANA GISELLE</t>
  </si>
  <si>
    <t>ESPECIALISTA EN GESTIÓN Y PROMOCIÓN DE LA JUVENTUD</t>
  </si>
  <si>
    <t>10230085</t>
  </si>
  <si>
    <t>MURILLO PONTE, RICARDO VICTOR</t>
  </si>
  <si>
    <t>LICENCIADO EN PSICOLOGIA</t>
  </si>
  <si>
    <t>COORDINADOR DE GRUPO DE TRABAJO PARA LA GESTION DEL RIESGO Y DE LA PLATAFORMA DE DEFENSA CIVIL</t>
  </si>
  <si>
    <t>42134348</t>
  </si>
  <si>
    <t>MUSSIO PINTO, ARISTIDES VITTORIO</t>
  </si>
  <si>
    <t>42259102</t>
  </si>
  <si>
    <t>NIETO RAMOS, NIELS FRANK</t>
  </si>
  <si>
    <t>TÉCNICO ADMINISTRATIVO</t>
  </si>
  <si>
    <t>25676909</t>
  </si>
  <si>
    <t>OLAZO PEREZ, CARLOS ALBERTO</t>
  </si>
  <si>
    <t>74934657</t>
  </si>
  <si>
    <t>ORELLANA RECAVARREN, JAIR RAUL</t>
  </si>
  <si>
    <t>EMPLEADO DE OFICINA EN GENERAL</t>
  </si>
  <si>
    <t>01333580</t>
  </si>
  <si>
    <t>PALOMINO ARANIBAR, JENNY COSSET</t>
  </si>
  <si>
    <t>ASISTENTE EN PLANEAMIENTO Y PRESUPUESTO</t>
  </si>
  <si>
    <t>25861061</t>
  </si>
  <si>
    <t>PALOMINO RAMOS, VERONICA ROCIO</t>
  </si>
  <si>
    <t>AUXILIAR ADMINISTRATIVO</t>
  </si>
  <si>
    <t>46148307</t>
  </si>
  <si>
    <t>PANDO MEDINA, ARACELI MELINA</t>
  </si>
  <si>
    <t>ESPECIALISTA EN FORMULACIÓN Y EVALUACIÓN DE PROYECTOS DE INVERSIÓN Y GESTIÓN PÚBLICA DE LA GRECYD</t>
  </si>
  <si>
    <t>40161394</t>
  </si>
  <si>
    <t>PARCO HUARINGA, JULIA NORMA</t>
  </si>
  <si>
    <t>ECONIMIA E INGENIERIA CIVIL</t>
  </si>
  <si>
    <t>40276326</t>
  </si>
  <si>
    <t>PASACHE VERGARA, JOSE ENRIQUE</t>
  </si>
  <si>
    <t>62578530</t>
  </si>
  <si>
    <t>PEREZ GOLAC, KATHERINE ALEXANDRA</t>
  </si>
  <si>
    <t>PERIODISTA</t>
  </si>
  <si>
    <t>TECNICO EN ELECTRONICA Y SOPORTE TECNICO</t>
  </si>
  <si>
    <t>25801599</t>
  </si>
  <si>
    <t>PEREZ GUERRERO, PEDRO ALEXANDER</t>
  </si>
  <si>
    <t>25743973</t>
  </si>
  <si>
    <t>PEREZ MARTINEZ, JESUS</t>
  </si>
  <si>
    <t>INGENIERO DE TRANSPORTES</t>
  </si>
  <si>
    <t>41370411</t>
  </si>
  <si>
    <t>PFOCCORI QUISPE, WILBERT</t>
  </si>
  <si>
    <t>ASISTENTE DE OFICINA</t>
  </si>
  <si>
    <t>25732652</t>
  </si>
  <si>
    <t>PINCO JARAMILLO, TERESA JESUS</t>
  </si>
  <si>
    <t>07326396</t>
  </si>
  <si>
    <t>PRINCIPE TRUJILLO, SANTOS GILBERTO</t>
  </si>
  <si>
    <t>LICENCIADA EN TURISMO</t>
  </si>
  <si>
    <t>45142215</t>
  </si>
  <si>
    <t>PUERTAS BENITES, JACQUELINE ANGELA</t>
  </si>
  <si>
    <t>TECNICO EN COMPUTACION</t>
  </si>
  <si>
    <t>41639105</t>
  </si>
  <si>
    <t>PUMACHARA MANSILLA, DEYSI GUILLERMINA</t>
  </si>
  <si>
    <t>07551814</t>
  </si>
  <si>
    <t>QUEZADA REYES, GRACIELA BIBIANA</t>
  </si>
  <si>
    <t>42546737</t>
  </si>
  <si>
    <t>QUISPE GOMEZ, YONEL</t>
  </si>
  <si>
    <t>42201484</t>
  </si>
  <si>
    <t>RAMIREZ POMASONCCO, MIRTHA MAXIMILIANA</t>
  </si>
  <si>
    <t>SOPORTE TECNICO PARA PC´S</t>
  </si>
  <si>
    <t>47724246</t>
  </si>
  <si>
    <t>RAMOS SOLANO, GERSON</t>
  </si>
  <si>
    <t>ESPECIALISTA EN PROCESOS DE SELECCIÓN</t>
  </si>
  <si>
    <t>32982812</t>
  </si>
  <si>
    <t>RAVELLO REYES, JENNY SILVANA</t>
  </si>
  <si>
    <t>ESPECIALISTA ADMINISTRATIVO</t>
  </si>
  <si>
    <t>01070113</t>
  </si>
  <si>
    <t>REATEGUI PACHECO, CESAR AUGUSTO</t>
  </si>
  <si>
    <t>ADMINISTRACION Y CIENCIAS POLITICAS</t>
  </si>
  <si>
    <t>COORDINADOR DE SEGURIDAD CIUDADANA</t>
  </si>
  <si>
    <t>42230307</t>
  </si>
  <si>
    <t>RECAVARREN FIGUEROA, JOSE DOMINGO</t>
  </si>
  <si>
    <t>CIENCIAS MILITARES CIN MENCION EN PLANEAMIENTO ESTRATEGICO Y TOMA DE DECISIONES</t>
  </si>
  <si>
    <t>MAESTRO</t>
  </si>
  <si>
    <t>47497533</t>
  </si>
  <si>
    <t>REYES BECERRA, CARMEN ELIZABETH</t>
  </si>
  <si>
    <t>ESPECIALÍSTA EN PRESUPUESTO PÚBLICO</t>
  </si>
  <si>
    <t>41234240</t>
  </si>
  <si>
    <t>REYES QUIÑONES, ALEJANDRO</t>
  </si>
  <si>
    <t>ADMINISTRACIÓN DE EMPRESAS</t>
  </si>
  <si>
    <t>LICENCIADO EN ADMINISYTRACION DE EMPRESAS</t>
  </si>
  <si>
    <t>25578224</t>
  </si>
  <si>
    <t>RISCO LAURA, FLORISA REYNA</t>
  </si>
  <si>
    <t>ASISTENTE DE ARCHIVO</t>
  </si>
  <si>
    <t>07455897</t>
  </si>
  <si>
    <t>RIVAS MORAN, HERMILA ANGELICA</t>
  </si>
  <si>
    <t>09628958</t>
  </si>
  <si>
    <t>RIVERA TORALBA, JULIO CESAR</t>
  </si>
  <si>
    <t>45888224</t>
  </si>
  <si>
    <t>RODRIGUEZ CASTRO, MIRIAM KATHERINE</t>
  </si>
  <si>
    <t>70051974</t>
  </si>
  <si>
    <t>ROJAS ROMERO, MAYBET LEYVI</t>
  </si>
  <si>
    <t>CERTIFICACION PARA CAJEROS</t>
  </si>
  <si>
    <t>TÉCNICO EN PROGRAMACIÓN Y SOPORTE TÉCNICO</t>
  </si>
  <si>
    <t>46331654</t>
  </si>
  <si>
    <t>ROJAS YNGA, JORGE LUIS</t>
  </si>
  <si>
    <t>25829662</t>
  </si>
  <si>
    <t>ROJAS ZEGARRA, NEIRO ALEJANDRO</t>
  </si>
  <si>
    <t>ESPECIALISTA EN SUPERVISION, PREVENCION Y RECUPERACIONES</t>
  </si>
  <si>
    <t>09679000</t>
  </si>
  <si>
    <t>ROMERO TELLO, EVELYN CARINA</t>
  </si>
  <si>
    <t>10273706</t>
  </si>
  <si>
    <t>RUIZ MARIÑAS, JAIME</t>
  </si>
  <si>
    <t>47149200</t>
  </si>
  <si>
    <t>RUIZ PATIÑO, FRANCOIS LUIGGI GIANCARLO</t>
  </si>
  <si>
    <t>41679134</t>
  </si>
  <si>
    <t>SALAZAR BARRIENTOS, ALFREDO JESUS</t>
  </si>
  <si>
    <t>TECNICO MECANICO, AUTOMOVILES</t>
  </si>
  <si>
    <t>25648910</t>
  </si>
  <si>
    <t>SALCEDO VARGAS, SOCORRO DINA ZARELA</t>
  </si>
  <si>
    <t>COORDINADOR GENERAL DE VILLAS REGIONALES</t>
  </si>
  <si>
    <t>42142401</t>
  </si>
  <si>
    <t>SALINAS MOLINA, TEOFILO EDUARDO</t>
  </si>
  <si>
    <t>CIENCIAS MARITIMAS NAVALES</t>
  </si>
  <si>
    <t>25493123</t>
  </si>
  <si>
    <t>SANCHEZ ALVAREZ, ROSARIO</t>
  </si>
  <si>
    <t>ASISTENTE DE GERENCIA</t>
  </si>
  <si>
    <t>ESPECIALISTA EN CONTROL PREVIO Y FISCALIZACION DE EXPEDIENTES POR PAGAR</t>
  </si>
  <si>
    <t>25735252</t>
  </si>
  <si>
    <t>SANCHEZ CANALES, RODOLFO DAVID</t>
  </si>
  <si>
    <t>ASISTENTE ADMINISTRATIVO CONTABLE</t>
  </si>
  <si>
    <t>25859096</t>
  </si>
  <si>
    <t>SANCHEZ D'ARRIGO, LUZ IRENE</t>
  </si>
  <si>
    <t>EMPLEADO DE SERVICIOS ADMINISTRATIVOS, OTROS</t>
  </si>
  <si>
    <t>76470516</t>
  </si>
  <si>
    <t>SANEZ GARCIA, GRESIA MILAGROS</t>
  </si>
  <si>
    <t>TECNICO EN ADMINISTRACION DE BASE DE DATOS</t>
  </si>
  <si>
    <t>46132836</t>
  </si>
  <si>
    <t>SANTISTEBAN SALCEDO, DARWIN ANTONIO</t>
  </si>
  <si>
    <t>08630423</t>
  </si>
  <si>
    <t>SIFUENTES TELLO, LUIS ALBERTO</t>
  </si>
  <si>
    <t>48238859</t>
  </si>
  <si>
    <t>SILVA MUÑOZ, ANNIE LUZ</t>
  </si>
  <si>
    <t>07307439</t>
  </si>
  <si>
    <t>SILVA RIOS, JULIO CESAR</t>
  </si>
  <si>
    <t>08330579</t>
  </si>
  <si>
    <t>SIMON AGUILAR, JAIME FERNANDO</t>
  </si>
  <si>
    <t>06467240</t>
  </si>
  <si>
    <t>SIPAN CHIRITO, ORLANDO FRANCISCO</t>
  </si>
  <si>
    <t>ASISTENTE DE ALMACEN</t>
  </si>
  <si>
    <t>25778888</t>
  </si>
  <si>
    <t>TABACCHI LLANTO, JAIME ENRIQUE</t>
  </si>
  <si>
    <t>ASISTENTE DE SISTEMAS</t>
  </si>
  <si>
    <t>08843097</t>
  </si>
  <si>
    <t>URBINA SALINAS, ELIAS</t>
  </si>
  <si>
    <t>ESPECIALISTA TÉCNICO EN SANEAMIENTO, REGISTRO Y CATASTRO</t>
  </si>
  <si>
    <t>40904841</t>
  </si>
  <si>
    <t>VALDIVIA COLLADO, GLADYS CELESTE</t>
  </si>
  <si>
    <t>ARQUITECTURA</t>
  </si>
  <si>
    <t>ARQUITECTA</t>
  </si>
  <si>
    <t>PROFESIONAL PARA SUPERVISAR E INTEGRAR LOS EE.FF Y PRESUPUESTARIOS DE LAS UNIDADES EJECUTORAS DEL PLIEGO GRC</t>
  </si>
  <si>
    <t>45818062</t>
  </si>
  <si>
    <t>VALDIVIESO ALARCON, LUZ TATIANA</t>
  </si>
  <si>
    <t>ASISTENTE EN ADMINISTRACIÓN</t>
  </si>
  <si>
    <t>40692170</t>
  </si>
  <si>
    <t>VALQUI ZABALA, ARNALDO OSWALDO</t>
  </si>
  <si>
    <t>ADMINISTRACION</t>
  </si>
  <si>
    <t>PROMOTORA DE CAMPO</t>
  </si>
  <si>
    <t>80188806</t>
  </si>
  <si>
    <t>VARIAS MORAN, GABY MARIANELA</t>
  </si>
  <si>
    <t>ADMINISTRATIVO</t>
  </si>
  <si>
    <t>40480113</t>
  </si>
  <si>
    <t>VEGA BONIFAZ, LUIS ANTONIO</t>
  </si>
  <si>
    <t>77692799</t>
  </si>
  <si>
    <t>VEGA CUARESMA, JOSE ALEJANDRO</t>
  </si>
  <si>
    <t>15852512</t>
  </si>
  <si>
    <t>VELEZ CHILET, MARIA MILAGROS</t>
  </si>
  <si>
    <t>CHOFER-SEGURIDAD</t>
  </si>
  <si>
    <t>40610899</t>
  </si>
  <si>
    <t>VICOS ARMAS, SERGIO MANUEL</t>
  </si>
  <si>
    <t>10179212</t>
  </si>
  <si>
    <t>VILLAFRANCA SANCHEZ, JORGE EDUARDO</t>
  </si>
  <si>
    <t>SOPORTE TÉCNICO PARA PC´S</t>
  </si>
  <si>
    <t>48028472</t>
  </si>
  <si>
    <t>VILLANUEVA TOLEDO, ELBER SAUL</t>
  </si>
  <si>
    <t>42984538</t>
  </si>
  <si>
    <t>YATACO PIMENTEL, JAVIER</t>
  </si>
  <si>
    <t xml:space="preserve">SUPERVISOR DE EXAMEN DE CONOCIMIENTOS </t>
  </si>
  <si>
    <t>25850531</t>
  </si>
  <si>
    <t>YAURI SORIANO, OSWALDO MARTIN</t>
  </si>
  <si>
    <t>ASISTENTE ADMINISTRATIVO Y HELP DESK (MESA DE AYUDA-MDA) DE SOPORTE TECNICO</t>
  </si>
  <si>
    <t>08990974</t>
  </si>
  <si>
    <t>YNGA ALATA, ENEDINA</t>
  </si>
  <si>
    <t>ANALISTA CONTABLE</t>
  </si>
  <si>
    <t>06127426</t>
  </si>
  <si>
    <t>ZAMALLOA PAREJA, WALTER JUAN</t>
  </si>
  <si>
    <t>80287301</t>
  </si>
  <si>
    <t>ZAPATA VIDAL, ROBERTO CARLOS</t>
  </si>
  <si>
    <t>ESPECIALISTA EN DERECHO</t>
  </si>
  <si>
    <t>06087727</t>
  </si>
  <si>
    <t>NUNURA POZO, AURELIO ADAN</t>
  </si>
  <si>
    <t>06104536</t>
  </si>
  <si>
    <t>GONZALES DE LA COTERA FLORES, JUAN CARLOS</t>
  </si>
  <si>
    <t>ASISTENTE EN PSICOLOGIAS</t>
  </si>
  <si>
    <t>06947495</t>
  </si>
  <si>
    <t>VIVANCO DIAZ, BALDO GASTON</t>
  </si>
  <si>
    <t>07609048</t>
  </si>
  <si>
    <t>PAREDES PIZARRO DE GIESBERTZ, OLGA MARINA</t>
  </si>
  <si>
    <t>TÉCNICO EN PROMOCION SOCIAL</t>
  </si>
  <si>
    <t>07610396</t>
  </si>
  <si>
    <t>NEGREIROS CRUZ, AMERICA JESUS</t>
  </si>
  <si>
    <t>DISEÑADOR GRAFICO</t>
  </si>
  <si>
    <t>07636270</t>
  </si>
  <si>
    <t>IBARRA BOLIVAR, PAUL ANTHONY</t>
  </si>
  <si>
    <t>07904089</t>
  </si>
  <si>
    <t>IZQUIERDO CHAVEZ, JUSTINA ELISA</t>
  </si>
  <si>
    <t>09629718</t>
  </si>
  <si>
    <t>GONZALES JARA, DOMINGO ALBERTO</t>
  </si>
  <si>
    <t>DIRECCIÓN DE PERSONAS Y GESTION EMPRESARIAL</t>
  </si>
  <si>
    <t>ASISTENTE CONTABLE EN LIQUIDACIONES</t>
  </si>
  <si>
    <t>10744117</t>
  </si>
  <si>
    <t>AGUILAR RAMOS, MERCEDES MARGOTH</t>
  </si>
  <si>
    <t>18182240</t>
  </si>
  <si>
    <t>CASTAÑEDA CASTILLO, RUBEN IGNACIO</t>
  </si>
  <si>
    <t>INGENIERO DE SISTEMAS</t>
  </si>
  <si>
    <t>19237501</t>
  </si>
  <si>
    <t>RIOS LEON, BOB CHARLES</t>
  </si>
  <si>
    <t>AUDITOR</t>
  </si>
  <si>
    <t>23002950</t>
  </si>
  <si>
    <t>ATENCIO SOTOMAYOR, ROCIO DEL CARMEN</t>
  </si>
  <si>
    <t>TECNICO EN DESARROLLO SOCIAL</t>
  </si>
  <si>
    <t>25431272</t>
  </si>
  <si>
    <t>GARAY LA ROSA, MANUELA CECILIA</t>
  </si>
  <si>
    <t>APOYO EN MAQUINARIA PESADA</t>
  </si>
  <si>
    <t>25483706</t>
  </si>
  <si>
    <t>LANDAURI PALOMERAS, FABIO MARIO</t>
  </si>
  <si>
    <t>25497501</t>
  </si>
  <si>
    <t>PENAGOS BRICEÑO, GUIDO WILFREDO</t>
  </si>
  <si>
    <t>25507482</t>
  </si>
  <si>
    <t>CACERES MONTALVO, CARLOS ALBERTO</t>
  </si>
  <si>
    <t>CHOFER MECANICO DE CAMIONETA</t>
  </si>
  <si>
    <t>25531693</t>
  </si>
  <si>
    <t>ARENAZA ACEVEDO, GREGORIO EUGENIO</t>
  </si>
  <si>
    <t>25543224</t>
  </si>
  <si>
    <t>NOVOA BRUSNELL, SILVYA GIOVANNA</t>
  </si>
  <si>
    <t>AUXILIAR</t>
  </si>
  <si>
    <t>25562258</t>
  </si>
  <si>
    <t>CASTRO GAMIO, CARLOS MANUEL</t>
  </si>
  <si>
    <t>AUXILIAR ADMINISTRATIVO DE CAMPO</t>
  </si>
  <si>
    <t>25566831</t>
  </si>
  <si>
    <t>MUÑOZ PAYMA, NERY MARTHA</t>
  </si>
  <si>
    <t>25567362</t>
  </si>
  <si>
    <t>MELENDEZ RAMOS, CECILIA ISABEL</t>
  </si>
  <si>
    <t>25574442</t>
  </si>
  <si>
    <t>CCAHUANA PEÑALOZA, JOHNY EDWIN</t>
  </si>
  <si>
    <t>25574769</t>
  </si>
  <si>
    <t>MORI SUCLUPE, PATRICIA JANET</t>
  </si>
  <si>
    <t>25577519</t>
  </si>
  <si>
    <t>SANCHEZ TAPIA, JESUS ALEJANDRO</t>
  </si>
  <si>
    <t>AUPERVISOR DE MAQUINARIA PESADA</t>
  </si>
  <si>
    <t>25578638</t>
  </si>
  <si>
    <t>BALCAZAR BACIGALUPO, WILMER IVAN</t>
  </si>
  <si>
    <t>TECNICO EN PROMOCION SOCIAL</t>
  </si>
  <si>
    <t>25633671</t>
  </si>
  <si>
    <t>REYES BOBADILLA DE MEREGILDO, MILLY</t>
  </si>
  <si>
    <t>25648464</t>
  </si>
  <si>
    <t>TORRES ZAPATA, CARLOS ALBERTO</t>
  </si>
  <si>
    <t>25685827</t>
  </si>
  <si>
    <t>CALDERON CAMAHUALI, DANTE</t>
  </si>
  <si>
    <t>25700304</t>
  </si>
  <si>
    <t>BALTIERREZ MORAN, STEVEN ANDRES</t>
  </si>
  <si>
    <t>25702740</t>
  </si>
  <si>
    <t>UBILLAS FALCON, GISELLA FLOR</t>
  </si>
  <si>
    <t>TECNICO SUPERVISOR OPERATIVO</t>
  </si>
  <si>
    <t>25703099</t>
  </si>
  <si>
    <t>ROMAN CARDENAS, GUILLERMO</t>
  </si>
  <si>
    <t>25718149</t>
  </si>
  <si>
    <t>PALMA CORONADO, JUANA</t>
  </si>
  <si>
    <t>25748487</t>
  </si>
  <si>
    <t>ODAR MONJA, PETER</t>
  </si>
  <si>
    <t>25749450</t>
  </si>
  <si>
    <t>OSORIO RAMOS, CECILIA INES</t>
  </si>
  <si>
    <t>25752049</t>
  </si>
  <si>
    <t>GUTIERREZ IPANAQUE, CARLOS MIGUEL</t>
  </si>
  <si>
    <t>25779310</t>
  </si>
  <si>
    <t>PAZOS BERAUN, MILAGROS JESUS</t>
  </si>
  <si>
    <t>25801006</t>
  </si>
  <si>
    <t>CANO VARGAS, ANTHONY PAUL</t>
  </si>
  <si>
    <t>25801566</t>
  </si>
  <si>
    <t>GARCIA RICCE, ALICIA BEATRIZ</t>
  </si>
  <si>
    <t>25825465</t>
  </si>
  <si>
    <t>PESCORAN PRIETO, LUIS ROGER</t>
  </si>
  <si>
    <t>FORMULADOR DE ACTIVIDADES</t>
  </si>
  <si>
    <t>25849618</t>
  </si>
  <si>
    <t>OCARES RAFAEL, CARLOS AUGUSTO</t>
  </si>
  <si>
    <t>ECONOMÍA</t>
  </si>
  <si>
    <t>29351877</t>
  </si>
  <si>
    <t>CUTIPA HUAYTA LUIS PERCY</t>
  </si>
  <si>
    <t>AUDITOR CONTADOR</t>
  </si>
  <si>
    <t>31673900</t>
  </si>
  <si>
    <t>APOLIN ALVAREZ, DANYA ANGELICA</t>
  </si>
  <si>
    <t>JEFE DE ALMACEN</t>
  </si>
  <si>
    <t>33262012</t>
  </si>
  <si>
    <t>MORALES RAZA, LUIS EMILIO</t>
  </si>
  <si>
    <t>40066823</t>
  </si>
  <si>
    <t>CORTEZ SALDARRIAGA, ELENA ROSARIO</t>
  </si>
  <si>
    <t>40261620</t>
  </si>
  <si>
    <t>YAURI SORIANO, MIRNA VANESSA</t>
  </si>
  <si>
    <t>ESPECIALISTA EN GESTION EDUCATIVA</t>
  </si>
  <si>
    <t>40523623</t>
  </si>
  <si>
    <t>VELA BENAVENTE, RAQUEL ROCIO</t>
  </si>
  <si>
    <t>PROFESOR</t>
  </si>
  <si>
    <t>41069098</t>
  </si>
  <si>
    <t>GIRALDO ZUÑIGA, GISSELLA SABINA</t>
  </si>
  <si>
    <t>CHOFER DE VEHICULO LIVIANO</t>
  </si>
  <si>
    <t>41376293</t>
  </si>
  <si>
    <t>MIRANDA RIEGA, JEFFERSON JESUS</t>
  </si>
  <si>
    <t>APOYO TECNICO EN METRADO</t>
  </si>
  <si>
    <t>41679128</t>
  </si>
  <si>
    <t>MILLA PEREDA, ANDRES ALEXANDER</t>
  </si>
  <si>
    <t>41728633</t>
  </si>
  <si>
    <t>VALDIVIEZO SAENZ, ALDO</t>
  </si>
  <si>
    <t>41890106</t>
  </si>
  <si>
    <t>OCOLA GATICA, PAUL JHON</t>
  </si>
  <si>
    <t>ESPECIALISTA EN GESTION PUBLICA Y CONTRATACIONES CON EL ESTADO</t>
  </si>
  <si>
    <t>42508727</t>
  </si>
  <si>
    <t>ESPINOZA AMISQUITA, LEONIDAS</t>
  </si>
  <si>
    <t>MATEMATICA E INFORMATICA</t>
  </si>
  <si>
    <t>LICENCIADO</t>
  </si>
  <si>
    <t xml:space="preserve">TECNICO EN MANTENIMIENTO Y OPERACIÓN DE MAQUINARIA PESADA </t>
  </si>
  <si>
    <t>42681851</t>
  </si>
  <si>
    <t>RUEDA VIDAL, RENZO GIOVANNI</t>
  </si>
  <si>
    <t>FORMULADOR DE EXPEDIENTES DE CONTRATACIONES</t>
  </si>
  <si>
    <t>42928488</t>
  </si>
  <si>
    <t>ORTIZ GARCIA, SHIRLEY INDIRA</t>
  </si>
  <si>
    <t>42973198</t>
  </si>
  <si>
    <t>ALIAGA PAUCAR, YESENIA MILUSKA</t>
  </si>
  <si>
    <t>ADMINISTRACION DE NEGOCIOS INTERNACIONALES</t>
  </si>
  <si>
    <t>42980041</t>
  </si>
  <si>
    <t>LA TORRE GIRIBALDE, ALAN CESAR ISRAEL</t>
  </si>
  <si>
    <t>43179797</t>
  </si>
  <si>
    <t>MAMANI PORRAS, ALAN JOEL</t>
  </si>
  <si>
    <t>APOYO EN SOPORTE TECNICO</t>
  </si>
  <si>
    <t>43555353</t>
  </si>
  <si>
    <t>CASTILLO ACHARTE, LUIS MIGUEL</t>
  </si>
  <si>
    <t>PROFESIONAL EN OCI</t>
  </si>
  <si>
    <t>44318765</t>
  </si>
  <si>
    <t>MERA DELGADO, YOSDY EDITH</t>
  </si>
  <si>
    <t>PROMOTOR DE TRABAJO DE CAMPO</t>
  </si>
  <si>
    <t>44438412</t>
  </si>
  <si>
    <t>MOSQUERA CHAUCA, YOSELLIN KELLY</t>
  </si>
  <si>
    <t>44442232</t>
  </si>
  <si>
    <t>MOSQUERA CHAUCA, YOSELLIN KATTY</t>
  </si>
  <si>
    <t>44539916</t>
  </si>
  <si>
    <t>MALAGA LOPEZ, MARIA AMALIA TRINIDAD</t>
  </si>
  <si>
    <t>44590179</t>
  </si>
  <si>
    <t>RAMOS CHALEN, YRIS MARIANA</t>
  </si>
  <si>
    <t>PROFESIONAL EN EL ORGANO DE CONTROL INSTITUCIONAL</t>
  </si>
  <si>
    <t>45249852</t>
  </si>
  <si>
    <t>JUAREZ BACA, JESSICA LIZET</t>
  </si>
  <si>
    <t>45543176</t>
  </si>
  <si>
    <t>FEBRES BENVENUTTO, WILLY</t>
  </si>
  <si>
    <t>45636638</t>
  </si>
  <si>
    <t>CABREJOS HUILLCAMISA, EVELYN STEPHANIE</t>
  </si>
  <si>
    <t>45803848</t>
  </si>
  <si>
    <t>RAMOS VALLADOLID, KATHERINE YSBEL</t>
  </si>
  <si>
    <t>45821594</t>
  </si>
  <si>
    <t>PINTADO PILCO, ENVER LENIN</t>
  </si>
  <si>
    <t>COMUNICADOR PARA REDES SOCIALES</t>
  </si>
  <si>
    <t>45887095</t>
  </si>
  <si>
    <t>MARTINEZ MENDOZA, LUIS GERARDO</t>
  </si>
  <si>
    <t>COMUNICADOR</t>
  </si>
  <si>
    <t>APOYO TECNICO EN DISEÑO GRAFICO</t>
  </si>
  <si>
    <t>46100015</t>
  </si>
  <si>
    <t>FLORES SALAZAR, ORLANDO MOISES</t>
  </si>
  <si>
    <t>46129980</t>
  </si>
  <si>
    <t>VILLANUEVA HUAPAYA, ANA LUIZA OFELIA</t>
  </si>
  <si>
    <t>46448825</t>
  </si>
  <si>
    <t>CARRASCO ESPINOZA, CARLOS FELIX</t>
  </si>
  <si>
    <t>47154208</t>
  </si>
  <si>
    <t>LUDEÑA TEJEDA, JACKELINE KELLY</t>
  </si>
  <si>
    <t xml:space="preserve">TÉCNICO ESPECIALIZADO EN TRANSPORTE </t>
  </si>
  <si>
    <t>47486322</t>
  </si>
  <si>
    <t>YOVERA LOPEZ, LUIS PEDRO</t>
  </si>
  <si>
    <t>ASISTENTE ADMINISTRATIVO LOGISTICO</t>
  </si>
  <si>
    <t>70271174</t>
  </si>
  <si>
    <t>SALCEDO RAMIREZ, ROSA ESTHER</t>
  </si>
  <si>
    <t>72920101</t>
  </si>
  <si>
    <t>VISITACION CASTILLO, LIZ KIMBERLEY</t>
  </si>
  <si>
    <t>74178309</t>
  </si>
  <si>
    <t>GUARNIZO CHAMBA, PERLA YADIHT</t>
  </si>
  <si>
    <t>PROFESIONAL TECNICO MECANICO</t>
  </si>
  <si>
    <t>76872874</t>
  </si>
  <si>
    <t>MERA GUERRERO, CRISTIAN EDUARDO ANDRE</t>
  </si>
  <si>
    <t>SUPERVISOR DE DISTRIBUCIÓN DE LAS UNIDADES DE MOVIMIENTO DE TIERRA, TRANSPORTE Y EQUIPOS AUXILIARES</t>
  </si>
  <si>
    <t>80191752</t>
  </si>
  <si>
    <t>PAJUELO FLORES, YVAN NICOLAS</t>
  </si>
  <si>
    <t>80395819</t>
  </si>
  <si>
    <t>PROSOPIO CHAVEZ, ALICIA ELVIRA</t>
  </si>
  <si>
    <t>80613279</t>
  </si>
  <si>
    <t>CHAUPE LOZANO, OSCAR</t>
  </si>
  <si>
    <t>2332392: CONSTRUCCION DE PISTAS Y VEREDAS EN EL AA.HH. VILLA EMILIA, DISTRITO DE MI PERU - CALLAO - CALLAO</t>
  </si>
  <si>
    <t>2333408: MEJORAMIENTO DE LOS SERVICIOS DE AGUA Y DESAGÜE EN EL AA.HH. SANTA ROSA EX FUNDO LA CHALACA, DISTRITO DEL CALLAO, PROVINCIA DE CALLAO - CALLAO</t>
  </si>
  <si>
    <t>ESTUDIO DEFINITIVO</t>
  </si>
  <si>
    <t>SALUD</t>
  </si>
  <si>
    <t>TRANSPORTE</t>
  </si>
  <si>
    <t>EDUCACIÓN</t>
  </si>
  <si>
    <t>CONSULTORIA DE OBRAS CON CONTRATO AÑO 2019</t>
  </si>
  <si>
    <t>SUPERVISION DE LA ACTUALIZACION DEL ESTUDIO DEFINITIVO PARA EL SALDO DE OBRA DE CONSTRUCCION VIA COSTA VERDE - TRAMO CALLAO</t>
  </si>
  <si>
    <t>CARLOS REYNALDO HUAMAN HUANCAS (DNI 02806667)</t>
  </si>
  <si>
    <t xml:space="preserve">CONFORMIDAD ESTUDIO </t>
  </si>
  <si>
    <t>CONSULTORIA DE OBRAS CON CONTRATO AÑO 2020</t>
  </si>
  <si>
    <t>CONSULTORIA DE OBRA PARA LA ACTUALIZACION DEL  ESTUDIO DEFINITIVO PARA EL SALDO DE OBRA CONSTRUCCION DE LA VIA COSTA VERDE - TRAMO CALLAO</t>
  </si>
  <si>
    <t>ALEXANDER PRIMITIVO HUERTAS JARA (DNI 40431359)</t>
  </si>
  <si>
    <t>2340326: ELABORACION DEL ESTUDIO DEFINITIVO DEL PIP:  MEJORAMIENTO DE LA PRESTACION DEL SERVICIO EDUCATIVO DE LA I.E. N° 5051 VIRGEN DE FÁTIMA DE NIVEL PRIMARIA Y SECUNDARIA -DISTRITO DE VENTANILLA, PROVINCIA CONSTITUCIONAL DEL CALLAO, REGION CALLAO</t>
  </si>
  <si>
    <t>A.B.C. ARQUITECTOS- INGENIEROS S.R.L (RUC 20131232251)</t>
  </si>
  <si>
    <t>LICITACIÓN PÚBLICA</t>
  </si>
  <si>
    <t>Sistema contratación A precios Unitarios</t>
  </si>
  <si>
    <t>Sistema contratación A Suma Alzada</t>
  </si>
  <si>
    <t>OBRAS CON CONTRATO AÑO 2019</t>
  </si>
  <si>
    <t>003-2019 -REGIÓN CALLAO</t>
  </si>
  <si>
    <t xml:space="preserve">20493043073- CONSORCIO VILLA EMILIA </t>
  </si>
  <si>
    <t>EN EJECUCION</t>
  </si>
  <si>
    <t>2263027: MEJORAMIENTO DEL SERVICIO EDUCATIVO DEL NIVEL INICIAL DE LA I.E. N 162 EN EL AA.HH CARLOS GARCIA RONCEROS, EN EL PROYECTO ESPECIAL NUEVO PACHACUTEC VENTANILLA, PROVINCIA CONSTITUCIONAL DEL CALLAO</t>
  </si>
  <si>
    <t>ADJUDICACION SIMPLIFICADA (derivado de LP)</t>
  </si>
  <si>
    <t>0029-2018-REGION CALLAO</t>
  </si>
  <si>
    <t>20493043073- CONSORCIO RONCEROS</t>
  </si>
  <si>
    <t>OBRAS CON CONTRATO AÑO 2020</t>
  </si>
  <si>
    <t>2055893: PROTECCION DEL TALUD SUPERIOR DE LA VIA COSTA VERDE-COSTANERA TRAMO CALLAO</t>
  </si>
  <si>
    <t>005-2019 -REGIÓN CALLAO</t>
  </si>
  <si>
    <t>20516080206- CONSORCIO PROTECTOR</t>
  </si>
  <si>
    <t>008-2020-REGIÓN CALLAO</t>
  </si>
  <si>
    <t>20478157976 GRUPO H Y S S.R.L.</t>
  </si>
  <si>
    <t>OBRA POR INICIAR</t>
  </si>
  <si>
    <t>Objetivo Estratégico Territorial (Código)</t>
  </si>
  <si>
    <t>Objetivo Estratégico Institucional
(Código y Enunciado)</t>
  </si>
  <si>
    <t>Línea Base</t>
  </si>
  <si>
    <t>Valor</t>
  </si>
  <si>
    <t>Año</t>
  </si>
  <si>
    <t xml:space="preserve">Meta </t>
  </si>
  <si>
    <t>Pliego 464: Gobierno Regional del Callao</t>
  </si>
  <si>
    <t>OET.01</t>
  </si>
  <si>
    <t>OEI.01: Mejorar la atención integral de los servicios de educación a la población</t>
  </si>
  <si>
    <t>Porcentaje de niños y niñas de segundo grado de primaria de Instituciones Educativas Públicas, que se encuentran en el nivel satisfactorio en comprensión lectora</t>
  </si>
  <si>
    <t>Evaluación Censal de Estudiantes (ECE) - MINEDU, Sistema de consulta de resultados de evaluaciones (SICRECE) - Oficina de medición de la calidad de los aprendizajes (UMC)</t>
  </si>
  <si>
    <t>DREC CALLAO 
Dirección de Gestión Institucional - Área de Planificación</t>
  </si>
  <si>
    <t>ND</t>
  </si>
  <si>
    <t>Porcentaje de niños y niñas de segundo grado de primaria de Instituciones Educativas Públicas, que se encuentran en el nivel satisfactorio en matemáticas</t>
  </si>
  <si>
    <t>OEI.02: Garantizas la atención integral de los servicios de salud a la población</t>
  </si>
  <si>
    <t>Porcentaje de satisfacción de la calidad de atención en los establecimientos de salud a los usuarios externos</t>
  </si>
  <si>
    <t>Encuestas aplicadas de satisfacción del usuario externo (Metodología Servqual) - Dirección Regional de Salud Callao</t>
  </si>
  <si>
    <t>DIRESA CALLAO
Oficina de Informática, Telecomunicaciones y Estadística</t>
  </si>
  <si>
    <t>OET.10</t>
  </si>
  <si>
    <t>OEI.03: Fortalecer el sistema de seguridad ciudadana en la Provincia Constitucional del Callao</t>
  </si>
  <si>
    <t>Porcentaje de la población de 15 y más años de edad que manifestó que se encuentra satisfecha con la vigilancia en la prevención de eventos que atentan contra su seguridad, en su zona o barrio</t>
  </si>
  <si>
    <t>Evolución de los programas presupuestales 2011 al 2017 - Instituto Nacional de Estadística e Informática - INEI, estimación de la población Callao - INEI</t>
  </si>
  <si>
    <t>GORE CALLAO
Gerencia Regional de Defensa Nacional, Defensa Civil y Seguridad Ciudadana</t>
  </si>
  <si>
    <t>OET.05</t>
  </si>
  <si>
    <t>OEI.04: Fortalecer la gestión del riesgo de desastre en la Provincia Constitucional del Callao</t>
  </si>
  <si>
    <t>Porcentaje de población resiliente ante un desastre o emergencia</t>
  </si>
  <si>
    <t>Registros de asistencia a las charlas, talleres, simulacros de sismos y tsunamis, realizadas por la DIRESA, DREC y Gerencias de la Sede Central, Gerencia Regional de Defensa Nacional, Defensa Civil y Seguridad Ciudadana y la Gerencia Regional de Recursos Naturales y Gestión del Medio Ambiente, en el marco de sus funciones y competencias</t>
  </si>
  <si>
    <t>DREC CALLAO
DIRESA CALLAO
GORE CALLAO</t>
  </si>
  <si>
    <t>OET.02</t>
  </si>
  <si>
    <t>OEI.05: Promover el desarrollo social en las poblaciones vulnerables</t>
  </si>
  <si>
    <t>Índice de Progreso Social (IPS) Regional del Perú</t>
  </si>
  <si>
    <t>CENTRUM Graduate Business School 
Pontificia Universidad Católica del Perú</t>
  </si>
  <si>
    <t>GORE CALLAO
Gerencia Regional de Desarrollo Social</t>
  </si>
  <si>
    <t>OET.03</t>
  </si>
  <si>
    <t>OEI.06: Promover la sostenibilidad de los recursos naturales en la Provincia Constitucional del Callao</t>
  </si>
  <si>
    <t>Porcentaje de hectáreas de áreas naturales de alta biodiversidad con algún nivel de protección</t>
  </si>
  <si>
    <t>Estudio de Microzonificación Ecológica Económica, versión actualizada diciembre 2011
Decreto Supremo N° 024-2009-MINAM</t>
  </si>
  <si>
    <t>GORE CALLAO
Gerencia Regional de Recursos Naturales y Gestión del Medio Ambiente</t>
  </si>
  <si>
    <t>OET.07</t>
  </si>
  <si>
    <t>OEI.07: Mejorar los niveles de competitividad de los agentes económicos</t>
  </si>
  <si>
    <t>Índice de Competitividad Regional del Perú (ICR)</t>
  </si>
  <si>
    <t>GORE CALLAO
Gerencia Regional de Desarrollo Económico</t>
  </si>
  <si>
    <t>OET.08</t>
  </si>
  <si>
    <t>OEI.08: Fortalecer la Gestión Institucional</t>
  </si>
  <si>
    <t>Porcentaje de cumplimiento anual del Planeamiento Estratégico Institucional - PEI</t>
  </si>
  <si>
    <t>SD</t>
  </si>
  <si>
    <t>Informe de la Oficina de Planificación - Reporte de seguimiento en el aplicativo CEPLAN</t>
  </si>
  <si>
    <t>GORE CALLAO</t>
  </si>
  <si>
    <t>UE: 001 REGION CALLAO</t>
  </si>
  <si>
    <t>BANCO DE LA NACION</t>
  </si>
  <si>
    <t>0000-645907</t>
  </si>
  <si>
    <t>SOLES</t>
  </si>
  <si>
    <t>a) D.S. 195-2001-EF</t>
  </si>
  <si>
    <t>0000-281689</t>
  </si>
  <si>
    <t>b) REGION CALLAO INSPECCIONES</t>
  </si>
  <si>
    <t>0000-871281</t>
  </si>
  <si>
    <t>0068-313740</t>
  </si>
  <si>
    <t>a) FONCOR</t>
  </si>
  <si>
    <t>0000-338214</t>
  </si>
  <si>
    <t>b) A TRABAJAR URBANO</t>
  </si>
  <si>
    <t>0000-339407</t>
  </si>
  <si>
    <t>c) PACHACUTEC</t>
  </si>
  <si>
    <t>0000-550515</t>
  </si>
  <si>
    <t>d) GRC - DONACIONES</t>
  </si>
  <si>
    <t>0000-868981</t>
  </si>
  <si>
    <t>1. CANON MINERO "H"</t>
  </si>
  <si>
    <t>2. CANON PESQUERO "J"</t>
  </si>
  <si>
    <t>3. CANON PESQUERO DERECHO"O"</t>
  </si>
  <si>
    <t>4. RENTA DE ADUANA "B"</t>
  </si>
  <si>
    <t>BANCO SCOTIABANK</t>
  </si>
  <si>
    <t>0000-0355658</t>
  </si>
  <si>
    <t>5. RENTA DE ADUANA "B"</t>
  </si>
  <si>
    <t>000-865893</t>
  </si>
  <si>
    <t>6. RENTA DE ADUANA "Q"</t>
  </si>
  <si>
    <t>7. RENTA DE ADUANA CAFED "Q"</t>
  </si>
  <si>
    <t>8. FIDEICOMISO REGIONAL "Ñ"</t>
  </si>
  <si>
    <t>9. PARTICIPACIONES -  BOI</t>
  </si>
  <si>
    <t>10. SALDOS ANTIGUOS "Y"</t>
  </si>
  <si>
    <t>1. FONDO DE GARANTIA</t>
  </si>
  <si>
    <t>0000-574910</t>
  </si>
  <si>
    <t>2. GRC - TRIBUTOS</t>
  </si>
  <si>
    <t>0000-867314</t>
  </si>
  <si>
    <t>3. ENDEUDAMIENTO TEMPORAL</t>
  </si>
  <si>
    <t>0068-331528</t>
  </si>
  <si>
    <t>4. EJECUCION DE CARTAS FIANZAS</t>
  </si>
  <si>
    <t>0068-376424</t>
  </si>
  <si>
    <t>2018</t>
  </si>
  <si>
    <t>SALDO 2019 (*)</t>
  </si>
  <si>
    <t>SALDO 2020 (**)</t>
  </si>
  <si>
    <t>UE:</t>
  </si>
  <si>
    <t>UE: 400 DIRECCION REGIONAL DE SALUD I CALLAO</t>
  </si>
  <si>
    <t>F-7</t>
  </si>
  <si>
    <t>F-6</t>
  </si>
  <si>
    <t>F-5</t>
  </si>
  <si>
    <t>F-4</t>
  </si>
  <si>
    <t>F-3</t>
  </si>
  <si>
    <t>F-2</t>
  </si>
  <si>
    <t>SPB</t>
  </si>
  <si>
    <t>SPC</t>
  </si>
  <si>
    <t>SPD</t>
  </si>
  <si>
    <t>SPF</t>
  </si>
  <si>
    <t>ENF-14</t>
  </si>
  <si>
    <t>ENF-13</t>
  </si>
  <si>
    <t>ENF-12</t>
  </si>
  <si>
    <t>ENF-11</t>
  </si>
  <si>
    <t>ENF-10</t>
  </si>
  <si>
    <t>OPS-VIII</t>
  </si>
  <si>
    <t>OPS-VI</t>
  </si>
  <si>
    <t>OPS-V</t>
  </si>
  <si>
    <t>OPS-IV</t>
  </si>
  <si>
    <t>OPS-I</t>
  </si>
  <si>
    <t>MC-5</t>
  </si>
  <si>
    <t>MC-3</t>
  </si>
  <si>
    <t>MC-2</t>
  </si>
  <si>
    <t>MC-1</t>
  </si>
  <si>
    <t>OBS-V</t>
  </si>
  <si>
    <t>OBS-IV</t>
  </si>
  <si>
    <t>OBS-III</t>
  </si>
  <si>
    <t>OBS-II</t>
  </si>
  <si>
    <t>OBS-I</t>
  </si>
  <si>
    <t>CD-V</t>
  </si>
  <si>
    <t>CD-IV</t>
  </si>
  <si>
    <t>CD-III</t>
  </si>
  <si>
    <t>CD-II</t>
  </si>
  <si>
    <t>CD-I</t>
  </si>
  <si>
    <t>PS-VIII</t>
  </si>
  <si>
    <t>PS-VI</t>
  </si>
  <si>
    <t>PS-IV</t>
  </si>
  <si>
    <t>TM-2</t>
  </si>
  <si>
    <t>TM-1</t>
  </si>
  <si>
    <t>STB</t>
  </si>
  <si>
    <t>STC</t>
  </si>
  <si>
    <t>STD</t>
  </si>
  <si>
    <t>STF</t>
  </si>
  <si>
    <t>SAB</t>
  </si>
  <si>
    <t>SAC</t>
  </si>
  <si>
    <t>SAD</t>
  </si>
  <si>
    <t>SAF</t>
  </si>
  <si>
    <t>CAS</t>
  </si>
  <si>
    <t>NO APLICA</t>
  </si>
  <si>
    <t>UE: 400 DIRECCION REGIONAL DE SALUD I DEL CALLAO</t>
  </si>
  <si>
    <t>VARIACION 2020-2021</t>
  </si>
  <si>
    <t>OTROS (ESPECIFICAR) (**) GUARDIAS HOSPITALARIAS</t>
  </si>
  <si>
    <t>OTROS (ESPECIFICAR) (**) OTROS BONOS</t>
  </si>
  <si>
    <t>DIRECTIVOS</t>
  </si>
  <si>
    <t>PROFESIONAL  SPA</t>
  </si>
  <si>
    <t>PROFESIONAL  SPB</t>
  </si>
  <si>
    <t>PROFESIONAL  SPC</t>
  </si>
  <si>
    <t>PROFESIONAL  SPD</t>
  </si>
  <si>
    <t>PROFESIONAL  SPE</t>
  </si>
  <si>
    <t>PROFESIONAL  SPF</t>
  </si>
  <si>
    <t>TECNICO  STA</t>
  </si>
  <si>
    <t>TECNICO  STB</t>
  </si>
  <si>
    <t>TECNICO  STC</t>
  </si>
  <si>
    <t>TECNICO  STD</t>
  </si>
  <si>
    <t>TECNICO  STE</t>
  </si>
  <si>
    <t>TECNICO  STF</t>
  </si>
  <si>
    <t>AUXILIAR  SAA</t>
  </si>
  <si>
    <t>AUXILIAR  SAB</t>
  </si>
  <si>
    <t>AUXILIAR  SAC</t>
  </si>
  <si>
    <t>AUXILIAR  SAD</t>
  </si>
  <si>
    <t>AUXILIAR  SAE</t>
  </si>
  <si>
    <t>AUXILIAR  SAF</t>
  </si>
  <si>
    <t>ASISTENCIALES</t>
  </si>
  <si>
    <t xml:space="preserve">  MEDICOS</t>
  </si>
  <si>
    <t>NIVEL 5</t>
  </si>
  <si>
    <t>NIVEL 4</t>
  </si>
  <si>
    <t>NIVEL 3</t>
  </si>
  <si>
    <t>NIVEL 2</t>
  </si>
  <si>
    <t>NIVEL 1</t>
  </si>
  <si>
    <t>PROFESIONALES DE LA SALUD</t>
  </si>
  <si>
    <t xml:space="preserve">  ENFERMERAS</t>
  </si>
  <si>
    <t>NIVEL 14</t>
  </si>
  <si>
    <t>NIVEL 13</t>
  </si>
  <si>
    <t>NIVEL 12</t>
  </si>
  <si>
    <t>NIVEL 11</t>
  </si>
  <si>
    <t>NIVEL 10</t>
  </si>
  <si>
    <t xml:space="preserve">  OBSTETRICES</t>
  </si>
  <si>
    <t>NIVEL V</t>
  </si>
  <si>
    <t>NIVEL IV</t>
  </si>
  <si>
    <t>NIVEL III</t>
  </si>
  <si>
    <t>NIVEL II</t>
  </si>
  <si>
    <t>NIVEL I</t>
  </si>
  <si>
    <t xml:space="preserve">  CIRUJANO DENTISTA</t>
  </si>
  <si>
    <t xml:space="preserve">  TECNOLOGOS MEDICOS</t>
  </si>
  <si>
    <t>OTROS PROF. DE LA SALUD</t>
  </si>
  <si>
    <t>VIII</t>
  </si>
  <si>
    <t>VII</t>
  </si>
  <si>
    <t>VI</t>
  </si>
  <si>
    <t>V</t>
  </si>
  <si>
    <t>IV</t>
  </si>
  <si>
    <t>III</t>
  </si>
  <si>
    <t>II</t>
  </si>
  <si>
    <t>I</t>
  </si>
  <si>
    <t>1 ADQUISICIÓN DE INSUMOS MÉDICOS PARA LOS ESTABLECIMIENTOS DE SALUD DE LA DIRESA CALLAO</t>
  </si>
  <si>
    <t>AS DERIVADO DE LA LP 1</t>
  </si>
  <si>
    <t>12-2019-GRC/DIRESA-1</t>
  </si>
  <si>
    <t>20109161609 - ROKER PERÚ S.A</t>
  </si>
  <si>
    <t>culminado</t>
  </si>
  <si>
    <t>ENTREGAS PERIODICAS</t>
  </si>
  <si>
    <t>20501549801 - FERCO MEDICAL S.A.C</t>
  </si>
  <si>
    <t>2 ADQUISICIÓN DE INSUMOS MÉDICOS PARA LOS ESTABLECIMIENTOS DE SALUD DE LA DIRESA CALLAO</t>
  </si>
  <si>
    <t>LP</t>
  </si>
  <si>
    <t>1-2019-GRC/DIRESA-1</t>
  </si>
  <si>
    <t>20602236553 - NAKARI MEDICAL E..I.R.L</t>
  </si>
  <si>
    <t>3 ADQUISICIÓN DE INSUMOS MÉDICOS PARA LOS ESTABLECIMIENTOS DE SALUD DE LA DIRESA CALLAO</t>
  </si>
  <si>
    <t>AS</t>
  </si>
  <si>
    <t>9-2019-GRC/DIRESA-1</t>
  </si>
  <si>
    <t>20566242100 - MEDIAPRINT S.A.C.</t>
  </si>
  <si>
    <t>4 ADQUISICIÓN DE INSUMOS MÉDICOS PARA LOS ESTABLECIMIENTOS DE SALUD DE LA DIRESA CALLAO</t>
  </si>
  <si>
    <t>10-2019-GRC/DIRESA-1</t>
  </si>
  <si>
    <t>20602247407 - EUNICE BIOMEDICAL E.I.R.L - TRANSPORTES OLIVOS S.A.C.</t>
  </si>
  <si>
    <t>5 ADQUISICIÓN DE INSUMOS MÉDICOS PARA LOS ESTABLECIMIENTOS DE SALUD DE LA DIRESA CALLAO</t>
  </si>
  <si>
    <t>SIE</t>
  </si>
  <si>
    <t>1-2019-GRC-DIRESA-3</t>
  </si>
  <si>
    <t>20536685261 - J Y N PROVEEDORES S.A.C.</t>
  </si>
  <si>
    <t>vigente</t>
  </si>
  <si>
    <t>6 ADQUISICIÓN DE INSUMOS MÉDICOS PARA LOS ESTABLECIMIENTOS DE SALUD DE LA DIRESA CALLAO</t>
  </si>
  <si>
    <t>5-2019-GRC-DIRESA-2</t>
  </si>
  <si>
    <t>7 ADQUISICIÓN DE INSUMOS MÉDICOS PARA LOS ESTABLECIMIENTOS DE SALUD DE LA DIRESA CALLAO</t>
  </si>
  <si>
    <t>CP</t>
  </si>
  <si>
    <t>10107861870 - GALLOSO SURUCHAQUI CARMEN ROSA</t>
  </si>
  <si>
    <t>8 ADQUISICIÓN DE INSUMOS MÉDICOS PARA LOS ESTABLECIMIENTOS DE SALUD DE LA DIRESA CALLAO</t>
  </si>
  <si>
    <t>8-2019-GRC/DIRESA-1</t>
  </si>
  <si>
    <t>10106498585 - LLOSA MANRIQUE ALEX RAUL</t>
  </si>
  <si>
    <t>9 ADQUISICIÓN DE INSUMOS MÉDICOS PARA LOS ESTABLECIMIENTOS DE SALUD DE LA DIRESA CALLAO</t>
  </si>
  <si>
    <t>6-2019-GRC/DIRESA-1</t>
  </si>
  <si>
    <t>20473538408 - LAB DEPOT S.A.</t>
  </si>
  <si>
    <t>10 ADQUISICIÓN DE INSUMOS MÉDICOS PARA LOS ESTABLECIMIENTOS DE SALUD DE LA DIRESA CALLAO</t>
  </si>
  <si>
    <t>4-2019-GRC/DIRESA-1</t>
  </si>
  <si>
    <t>20519485649 - TERSEM EIRL</t>
  </si>
  <si>
    <t>11 ADQUISICIÓN DE INSUMOS MÉDICOS PARA LOS ESTABLECIMIENTOS DE SALUD DE LA DIRESA CALLAO</t>
  </si>
  <si>
    <t>2-2019-GRC/DIRESA-1</t>
  </si>
  <si>
    <t>20523936477 - CORPORACION INDUSTRIAL WASH S.A.C.</t>
  </si>
  <si>
    <t>12 ADQUISICIÓN DE INSUMOS MÉDICOS PARA LOS ESTABLECIMIENTOS DE SALUD DE LA DIRESA CALLAO</t>
  </si>
  <si>
    <t>3-2019-GRC/DIRESA-1</t>
  </si>
  <si>
    <t>20553255709 - KANAY S.A.C.</t>
  </si>
  <si>
    <t>13 ADQUISICIÓN DE INSUMOS MÉDICOS PARA LOS ESTABLECIMIENTOS DE SALUD DE LA DIRESA CALLAO</t>
  </si>
  <si>
    <t>20486277069 - IMPRESOS S.R.L.</t>
  </si>
  <si>
    <t>14 ADQUISICIÓN DE INSUMOS MÉDICOS PARA LOS ESTABLECIMIENTOS DE SALUD DE LA DIRESA CALLAO</t>
  </si>
  <si>
    <t>CD</t>
  </si>
  <si>
    <t>OC 239-2019-GRC/DIRESA-1</t>
  </si>
  <si>
    <t>20100340438 - REPRODATA S.A.C.</t>
  </si>
  <si>
    <t>4 DÍAS CALENDARIO</t>
  </si>
  <si>
    <t>15 ADQUISICIÓN DE INSUMOS MÉDICOS PARA LOS ESTABLECIMIENTOS DE SALUD DE LA DIRESA CALLAO</t>
  </si>
  <si>
    <t>1-2020-GRC/DIRESA-1</t>
  </si>
  <si>
    <t>para firma de contrato</t>
  </si>
  <si>
    <t>Para Firma de Contrato</t>
  </si>
  <si>
    <t>16 ADQUISICIÓN DE INSUMOS MÉDICOS PARA LOS ESTABLECIMIENTOS DE SALUD DE LA DIRESA CALLAO</t>
  </si>
  <si>
    <t>2-2020-GRC/DIRESA-1</t>
  </si>
  <si>
    <t>Absolución de Consultas y Observaciones</t>
  </si>
  <si>
    <t>17 ADQUISICIÓN DE INSUMOS MÉDICOS PARA LOS ESTABLECIMIENTOS DE SALUD DE LA DIRESA CALLAO</t>
  </si>
  <si>
    <t>3-2020-GRC-DIRESA-</t>
  </si>
  <si>
    <t>18 ADQUISICIÓN DE INSUMOS MÉDICOS PARA LOS ESTABLECIMIENTOS DE SALUD DE LA DIRESA CALLAO</t>
  </si>
  <si>
    <t>4-2020-GRC-DIRESA-</t>
  </si>
  <si>
    <t>19 ADQUISICIÓN DE INSUMOS MÉDICOS PARA LOS ESTABLECIMIENTOS DE SALUD DE LA DIRESA CALLAO</t>
  </si>
  <si>
    <t>13-2019-CENARES-MINSA</t>
  </si>
  <si>
    <t>20100085225 - QUIMICA SUIZA</t>
  </si>
  <si>
    <t>20 ADQUISICIÓN DE INSUMOS MÉDICOS PARA LOS ESTABLECIMIENTOS DE SALUD DE LA DIRESA CALLAO</t>
  </si>
  <si>
    <t>20482137319 - DROGUERÍA INVERSIONES JPS S.A.C</t>
  </si>
  <si>
    <t>21 ADQUISICIÓN DE INSUMOS MÉDICOS PARA LOS ESTABLECIMIENTOS DE SALUD DE LA DIRESA CALLAO</t>
  </si>
  <si>
    <t>JPS DISTRIBUCIONES E.I.R.L</t>
  </si>
  <si>
    <t>22 ADQUISICIÓN DE INSUMOS MÉDICOS PARA LOS ESTABLECIMIENTOS DE SALUD DE LA DIRESA CALLAO</t>
  </si>
  <si>
    <t>JOBAL PHARMA E.I.R.L</t>
  </si>
  <si>
    <t>23 ADQUISICIÓN DE INSUMOS MÉDICOS PARA LOS ESTABLECIMIENTOS DE SALUD DE LA DIRESA CALLAO</t>
  </si>
  <si>
    <t>LABORATORIOS GABBLAN S.A.C</t>
  </si>
  <si>
    <t>24 ADQUISICIÓN DE INSUMOS MÉDICOS PARA LOS ESTABLECIMIENTOS DE SALUD DE LA DIRESA CALLAO</t>
  </si>
  <si>
    <t>MASTER FARMA S.A</t>
  </si>
  <si>
    <t>25 ADQUISICIÓN DE INSUMOS MÉDICOS PARA LOS ESTABLECIMIENTOS DE SALUD DE LA DIRESA CALLAO</t>
  </si>
  <si>
    <t>MEDIFARMA S.A</t>
  </si>
  <si>
    <t>26 ADQUISICIÓN DE INSUMOS MÉDICOS PARA LOS ESTABLECIMIENTOS DE SALUD DE LA DIRESA CALLAO</t>
  </si>
  <si>
    <t>MEOW SERVICES S.A.C</t>
  </si>
  <si>
    <t>27 ADQUISICIÓN DE INSUMOS MÉDICOS PARA LOS ESTABLECIMIENTOS DE SALUD DE LA DIRESA CALLAO</t>
  </si>
  <si>
    <t>PHARMARIS PERU S.A.C</t>
  </si>
  <si>
    <t>28 ADQUISICIÓN DE INSUMOS MÉDICOS PARA LOS ESTABLECIMIENTOS DE SALUD DE LA DIRESA CALLAO</t>
  </si>
  <si>
    <t>29 ADQUISICIÓN DE INSUMOS MÉDICOS PARA LOS ESTABLECIMIENTOS DE SALUD DE LA DIRESA CALLAO</t>
  </si>
  <si>
    <t>SEVEN PHARMA S.A.C</t>
  </si>
  <si>
    <t>30 ADQUISICIÓN DE INSUMOS MÉDICOS PARA LOS ESTABLECIMIENTOS DE SALUD DE LA DIRESA CALLAO</t>
  </si>
  <si>
    <t>LABORATORIOS PORTUGAL S.R.L</t>
  </si>
  <si>
    <t>31 ADQUISICIÓN DE INSUMOS MÉDICOS PARA LOS ESTABLECIMIENTOS DE SALUD DE LA DIRESA CALLAO</t>
  </si>
  <si>
    <t>INSTITUTO QUIMIOTERAPICO S.A</t>
  </si>
  <si>
    <t>32 ADQUISICIÓN DE INSUMOS MÉDICOS PARA LOS ESTABLECIMIENTOS DE SALUD DE LA DIRESA CALLAO</t>
  </si>
  <si>
    <t>LABORATORIOS AMERICANOS S.A</t>
  </si>
  <si>
    <t>33 ADQUISICIÓN DE INSUMOS MÉDICOS PARA LOS ESTABLECIMIENTOS DE SALUD DE LA DIRESA CALLAO</t>
  </si>
  <si>
    <t>FARMINDUSTRIA S.A</t>
  </si>
  <si>
    <t>34 ADQUISICIÓN DE INSUMOS MÉDICOS PARA LOS ESTABLECIMIENTOS DE SALUD DE LA DIRESA CALLAO</t>
  </si>
  <si>
    <t>LABORATORIOS INDUQUIMICA S.A</t>
  </si>
  <si>
    <t>35 ADQUISICIÓN DE INSUMOS MÉDICOS PARA LOS ESTABLECIMIENTOS DE SALUD DE LA DIRESA CALLAO</t>
  </si>
  <si>
    <t>11-2019-CENARES-MINSA</t>
  </si>
  <si>
    <t>NIPRO MEDICAL CORPORATION SUCURSAL DEL PERU</t>
  </si>
  <si>
    <t>36 ADQUISICIÓN DE INSUMOS MÉDICOS PARA LOS ESTABLECIMIENTOS DE SALUD DE LA DIRESA CALLAO</t>
  </si>
  <si>
    <t>37 ADQUISICIÓN DE INSUMOS MÉDICOS PARA LOS ESTABLECIMIENTOS DE SALUD DE LA DIRESA CALLAO</t>
  </si>
  <si>
    <t>L &amp; M MEDICAL SUPPLIES S.A.C</t>
  </si>
  <si>
    <t>38 ADQUISICIÓN DE INSUMOS MÉDICOS PARA LOS ESTABLECIMIENTOS DE SALUD DE LA DIRESA CALLAO</t>
  </si>
  <si>
    <t>LABORATORIOS TEXILES LOS ROSALES S.A.C</t>
  </si>
  <si>
    <t>39 ADQUISICIÓN DE INSUMOS MÉDICOS PARA LOS ESTABLECIMIENTOS DE SALUD DE LA DIRESA CALLAO</t>
  </si>
  <si>
    <t>40 ADQUISICIÓN DE INSUMOS MÉDICOS PARA LOS ESTABLECIMIENTOS DE SALUD DE LA DIRESA CALLAO</t>
  </si>
  <si>
    <t>41 ADQUISICIÓN DE INSUMOS MÉDICOS PARA LOS ESTABLECIMIENTOS DE SALUD DE LA DIRESA CALLAO</t>
  </si>
  <si>
    <t>21-2019-CENARES-MINSA</t>
  </si>
  <si>
    <t>MEDICA EXPRESS S.A.C</t>
  </si>
  <si>
    <t>42 ADQUISICIÓN DE INSUMOS MÉDICOS PARA LOS ESTABLECIMIENTOS DE SALUD DE LA DIRESA CALLAO</t>
  </si>
  <si>
    <t>43 ADQUISICIÓN DE INSUMOS MÉDICOS PARA LOS ESTABLECIMIENTOS DE SALUD DE LA DIRESA CALLAO</t>
  </si>
  <si>
    <t>14-2019-CENARES-MINSA</t>
  </si>
  <si>
    <t>PPTO 2019 (AL 31/12)</t>
  </si>
  <si>
    <t>PPTO 2020 (AL 30/06)</t>
  </si>
  <si>
    <t>PPTO 2020 (PROYECCI{ON 31/12)</t>
  </si>
  <si>
    <t>YOSHIRO LEONIDAS GUDIEL SANTOYO</t>
  </si>
  <si>
    <t>ELABORACION DE EXPEDIENTES TECNICOS P/MANTENIMIENTO INSTALACIONES ELECTRICAS</t>
  </si>
  <si>
    <t>UE: 001 REGIONCALLAO</t>
  </si>
  <si>
    <t>01316</t>
  </si>
  <si>
    <t>0000 - 876011</t>
  </si>
  <si>
    <t xml:space="preserve">S/. </t>
  </si>
  <si>
    <t>0000 - 876054</t>
  </si>
  <si>
    <t xml:space="preserve">      - MEDICAMENTOS</t>
  </si>
  <si>
    <t>0000 - 876526</t>
  </si>
  <si>
    <t xml:space="preserve">      - SANIDAD MARITIMA</t>
  </si>
  <si>
    <t>0000 - 876534</t>
  </si>
  <si>
    <t xml:space="preserve">       OFICIALES DE CRED. INTERNOS</t>
  </si>
  <si>
    <t>0000 - 876445</t>
  </si>
  <si>
    <t xml:space="preserve">      - DONAC. AGENCIA COOP. INTERNAC.DE COREA</t>
  </si>
  <si>
    <t>0068 - 349044</t>
  </si>
  <si>
    <t xml:space="preserve">      - DONAC. COOP. TECNICA BELGA</t>
  </si>
  <si>
    <t>0068 - 247292</t>
  </si>
  <si>
    <t xml:space="preserve">               - SUB CUENTA - RENTAS ADUANAS</t>
  </si>
  <si>
    <t xml:space="preserve">               - SUB CUENTA - PARTICIPACIONES FED</t>
  </si>
  <si>
    <t>GOBIERNO REGIONAL CALLAO</t>
  </si>
  <si>
    <t>TESEM EIRL</t>
  </si>
  <si>
    <t>PROPIO</t>
  </si>
  <si>
    <t>1 año</t>
  </si>
  <si>
    <t>MENSUAL</t>
  </si>
  <si>
    <t>UE 400 DIRECCION REGIONAL DE SALUD CALLAO</t>
  </si>
  <si>
    <t>AÑO FISCAL 2019</t>
  </si>
  <si>
    <t>AÑO FISCAL 2020 (*)</t>
  </si>
  <si>
    <t>R.O.</t>
  </si>
  <si>
    <t>ENFERMERO/A</t>
  </si>
  <si>
    <t>15866876</t>
  </si>
  <si>
    <t>ABARCA BARRENECHEA YISELA</t>
  </si>
  <si>
    <t>LICENCIADO EN ENFERMERIA</t>
  </si>
  <si>
    <t>SUPERIOR UNIVERSITARIO</t>
  </si>
  <si>
    <t>TITULO PROFESIONAL</t>
  </si>
  <si>
    <t>PSICOLOGO(A)</t>
  </si>
  <si>
    <t>40758066</t>
  </si>
  <si>
    <t>ABARCA OSORIO CENINA</t>
  </si>
  <si>
    <t>73232378</t>
  </si>
  <si>
    <t>ACUÑA ASENCIOS MARIZABEL</t>
  </si>
  <si>
    <t>TECNICO EN ENFERMERIA</t>
  </si>
  <si>
    <t>45372375</t>
  </si>
  <si>
    <t>ACUÑA GOMEZ MARIA VELINDA</t>
  </si>
  <si>
    <t>SUPERIOR TECNICO</t>
  </si>
  <si>
    <t>TITULO TECNICO</t>
  </si>
  <si>
    <t>TECNICO EN LABORATORIO</t>
  </si>
  <si>
    <t>10777112</t>
  </si>
  <si>
    <t>ACUÑA REYES ENRIQUE VICTOR</t>
  </si>
  <si>
    <t>SUPERVISOR EN CONSERVACION Y SERVICIOS I</t>
  </si>
  <si>
    <t>06768236</t>
  </si>
  <si>
    <t>AGUILAR BERROSPI RAFAEL ENRIQUE</t>
  </si>
  <si>
    <t>SECUNDARIA</t>
  </si>
  <si>
    <t>CERTIFICADO DE ESTUDIOS</t>
  </si>
  <si>
    <t>25684729</t>
  </si>
  <si>
    <t>AGUILAR BRAVO FLAVIO GUSTAVO</t>
  </si>
  <si>
    <t>TECNOLOGO MEDICO</t>
  </si>
  <si>
    <t>09649165</t>
  </si>
  <si>
    <t>AGUILAR GUZMAN NATIVIDAD ISABEL</t>
  </si>
  <si>
    <t>71314090</t>
  </si>
  <si>
    <t>AGUILAR RIVERA MARIA DE FATIMA</t>
  </si>
  <si>
    <t>42236490</t>
  </si>
  <si>
    <t>AGUILAR RUEDA EDITH NANCY</t>
  </si>
  <si>
    <t>OBSTETRA</t>
  </si>
  <si>
    <t>09869009</t>
  </si>
  <si>
    <t>AGUIRRE BANEO GLADYS ROXANA</t>
  </si>
  <si>
    <t>LICENCIADO EN OBSTETRICIA</t>
  </si>
  <si>
    <t>40051298</t>
  </si>
  <si>
    <t>AGUIRRE CONTRERAS PATRICIA</t>
  </si>
  <si>
    <t>41114305</t>
  </si>
  <si>
    <t>AGUIRRE LOPEZ MILKA</t>
  </si>
  <si>
    <t>45961732</t>
  </si>
  <si>
    <t>AGURTO PALACIOS LEYDI MARIUXI</t>
  </si>
  <si>
    <t>43448517</t>
  </si>
  <si>
    <t>ALANYA JURADO KARIN NORCA</t>
  </si>
  <si>
    <t>09355756</t>
  </si>
  <si>
    <t>ALARCON ALCA ROMULO TEOFILO</t>
  </si>
  <si>
    <t>45713352</t>
  </si>
  <si>
    <t>ALARCON FLORES YURI MAYCOL</t>
  </si>
  <si>
    <t>44073890</t>
  </si>
  <si>
    <t>ALARCON SALAZAR JAVIER</t>
  </si>
  <si>
    <t>44758683</t>
  </si>
  <si>
    <t>ALBITRES BAZAN LUISA GABRIELA</t>
  </si>
  <si>
    <t>41947434</t>
  </si>
  <si>
    <t>ALCALDE DOMINGUEZ ALAN RICARDO</t>
  </si>
  <si>
    <t>10868404</t>
  </si>
  <si>
    <t>ALCANTARA RAMOS MARUJA ROCIO</t>
  </si>
  <si>
    <t>LICENCIADO EN BIOLOGO</t>
  </si>
  <si>
    <t>41478317</t>
  </si>
  <si>
    <t>ALFARO AGUILAR ROBERTO ENRIQUE</t>
  </si>
  <si>
    <t>BACHILLER EN INGENIERIA</t>
  </si>
  <si>
    <t>09862009</t>
  </si>
  <si>
    <t>ALIAGA SANCHEZ SAULO</t>
  </si>
  <si>
    <t xml:space="preserve">MEDICO CIRUJANO </t>
  </si>
  <si>
    <t>09628620</t>
  </si>
  <si>
    <t>ALVA RIOS FLOR MARIA</t>
  </si>
  <si>
    <t>45665144</t>
  </si>
  <si>
    <t>ALVARADO ALIAGA ANGELA ANTHOANET</t>
  </si>
  <si>
    <t>41273736</t>
  </si>
  <si>
    <t>ALVARADO CORTEZ VERONICA VANESSA</t>
  </si>
  <si>
    <t>42888414</t>
  </si>
  <si>
    <t>AMANZO LOPEZ RICARDO ALEXIS</t>
  </si>
  <si>
    <t>46546504</t>
  </si>
  <si>
    <t>AMASIFUEN MACAHUACHI LIPSA MAGALY</t>
  </si>
  <si>
    <t>03685044</t>
  </si>
  <si>
    <t>ANICETO CALLE CESAR AUGUSTO</t>
  </si>
  <si>
    <t>TECNICO EN FARMACIA</t>
  </si>
  <si>
    <t>06803287</t>
  </si>
  <si>
    <t>APAZA MALDONADO MARIA DEL PILAR</t>
  </si>
  <si>
    <t>40370317</t>
  </si>
  <si>
    <t>AQUIJE SALAZAR LILIA PATRICIA</t>
  </si>
  <si>
    <t>45169577</t>
  </si>
  <si>
    <t>ARANDA ORTIZ MARYCRUZ MAZZINYEE</t>
  </si>
  <si>
    <t>41841520</t>
  </si>
  <si>
    <t>ARCE CHIPANA YSABEL GIOVANA</t>
  </si>
  <si>
    <t>42595478</t>
  </si>
  <si>
    <t>ARCE SEGOVIA JENNY JOAN</t>
  </si>
  <si>
    <t>06885325</t>
  </si>
  <si>
    <t>ARENAS MELGAR MARCO ANTONIO</t>
  </si>
  <si>
    <t>43826470</t>
  </si>
  <si>
    <t>ARIAS FLORES CARLA ROSSINA</t>
  </si>
  <si>
    <t xml:space="preserve">TECNICO EN ENFERMERIA </t>
  </si>
  <si>
    <t>47224154</t>
  </si>
  <si>
    <t xml:space="preserve">ARIAS RICALDI ROXANA PAMELA </t>
  </si>
  <si>
    <t>44466885</t>
  </si>
  <si>
    <t>ARIAS RICALDI RUTH SUSAN</t>
  </si>
  <si>
    <t>71224332</t>
  </si>
  <si>
    <t>ARROYO BARDALES FRANCESCA ARACELLI</t>
  </si>
  <si>
    <t>70557071</t>
  </si>
  <si>
    <t>ARTEAGA DAMAZON IVETTE LESLIE</t>
  </si>
  <si>
    <t>25568945</t>
  </si>
  <si>
    <t>ASIN VELARDE LUIS TOMAS</t>
  </si>
  <si>
    <t>25745156</t>
  </si>
  <si>
    <t>ASMAD CARRILLO MILKO MANUEL</t>
  </si>
  <si>
    <t>NUTRICIONISTA</t>
  </si>
  <si>
    <t>08627808</t>
  </si>
  <si>
    <t>ASTETE TUDELA AIDA</t>
  </si>
  <si>
    <t>LICENCIADO EN NUTRICION</t>
  </si>
  <si>
    <t>41024350</t>
  </si>
  <si>
    <t>AUCCASIO MORAN MARIA ISABEL</t>
  </si>
  <si>
    <t>40842336</t>
  </si>
  <si>
    <t>AVENDAÑO CCORI KATTY GIANINNA</t>
  </si>
  <si>
    <t>44767841</t>
  </si>
  <si>
    <t>AVENDAÑO CCORI ROGER FRANK</t>
  </si>
  <si>
    <t>44260055</t>
  </si>
  <si>
    <t>AYALA HUERTA IRMA YOLANDA</t>
  </si>
  <si>
    <t>16806335</t>
  </si>
  <si>
    <t>AYALA SAMILLAN JESSICA VIRGINIA</t>
  </si>
  <si>
    <t>QUIMICO FARMACEUTICO</t>
  </si>
  <si>
    <t>44382904</t>
  </si>
  <si>
    <t>BADOS ALARCON YESENIA VANESSA</t>
  </si>
  <si>
    <t>LICENCIADO EN QUIMICA FARMACEUTICA</t>
  </si>
  <si>
    <t>06730962</t>
  </si>
  <si>
    <t>BALBUENA MERCADO JORGE GUILLERMO</t>
  </si>
  <si>
    <t>44286585</t>
  </si>
  <si>
    <t>BALDOCEDA CAYMATA JESSICA GISELA</t>
  </si>
  <si>
    <t>60549203</t>
  </si>
  <si>
    <t>BANEO MEJIA ROSARIO IBETH</t>
  </si>
  <si>
    <t>41503352</t>
  </si>
  <si>
    <t>BARBOZA PINO MARELY LUCY</t>
  </si>
  <si>
    <t>70429807</t>
  </si>
  <si>
    <t>BARRAZA MIRANDA RITA LUCIA</t>
  </si>
  <si>
    <t>ASISTEMTE ADMINISTRATIVO</t>
  </si>
  <si>
    <t>32974541</t>
  </si>
  <si>
    <t>BARRENECHEA ALACHE ROSMERY MARILYN</t>
  </si>
  <si>
    <t>42345833</t>
  </si>
  <si>
    <t>BARRETO LARRAIN NICANOR</t>
  </si>
  <si>
    <t>00371930</t>
  </si>
  <si>
    <t>BECERRA FERNANDEZ PATRICIA SOLEDAD</t>
  </si>
  <si>
    <t>72519493</t>
  </si>
  <si>
    <t>BEDON BAZAN ARACELLY ELVIRA</t>
  </si>
  <si>
    <t>40695123</t>
  </si>
  <si>
    <t>BEGAZO DONOHUE OLGA EDITH</t>
  </si>
  <si>
    <t>09457725</t>
  </si>
  <si>
    <t>BELTRAN BAZO HUGO ROLANDO</t>
  </si>
  <si>
    <t>71250560</t>
  </si>
  <si>
    <t>BERAUN BERRU MERLY GENOVEVA</t>
  </si>
  <si>
    <t>44950449</t>
  </si>
  <si>
    <t>BERNAL ALCANTARA MIRIAM FIORELLA</t>
  </si>
  <si>
    <t>43918221</t>
  </si>
  <si>
    <t>BERNAL FLORES JHONNY MANUEL</t>
  </si>
  <si>
    <t>71459537</t>
  </si>
  <si>
    <t>BERNALES TURPO DEISY NOHEMI</t>
  </si>
  <si>
    <t>71477649</t>
  </si>
  <si>
    <t>BERNAOLA LUIKEN RUTH MILUSKA JANET</t>
  </si>
  <si>
    <t>43314289</t>
  </si>
  <si>
    <t>BERRIOS SILVA ELSITA JESSENIA</t>
  </si>
  <si>
    <t>46438208</t>
  </si>
  <si>
    <t>BILLALOVOS TORRES BETSABE TABITA</t>
  </si>
  <si>
    <t>41162183</t>
  </si>
  <si>
    <t>BODERO OLAYA JIMMY HARRIS</t>
  </si>
  <si>
    <t>40216492</t>
  </si>
  <si>
    <t>BOULANGER ALVARADO CESAR MARIO</t>
  </si>
  <si>
    <t>40520167</t>
  </si>
  <si>
    <t>BOULANGGER ARICA SOLANCY JACQUELINE</t>
  </si>
  <si>
    <t>43021719</t>
  </si>
  <si>
    <t>BRITO PAZ ELVIA JANETT</t>
  </si>
  <si>
    <t>09781078</t>
  </si>
  <si>
    <t>BUENDIA ORE JUAN JOSUE</t>
  </si>
  <si>
    <t>44605070</t>
  </si>
  <si>
    <t>BUSTAMANTE PAREDES ANGELICA MARIA</t>
  </si>
  <si>
    <t>CIRUJANO DENTISTA</t>
  </si>
  <si>
    <t>09859661</t>
  </si>
  <si>
    <t>CABALLERO GUZMAN JESSICA LIZETTE</t>
  </si>
  <si>
    <t>46776599</t>
  </si>
  <si>
    <t>CABALLERO OSCCO DINA</t>
  </si>
  <si>
    <t>01117197</t>
  </si>
  <si>
    <t>CABRERA FLORES LEONOR</t>
  </si>
  <si>
    <t>10773033</t>
  </si>
  <si>
    <t>CABRERA LUNA GIANCARLO</t>
  </si>
  <si>
    <t>43529463</t>
  </si>
  <si>
    <t>CACERES ROJAS MARIELA PILAR</t>
  </si>
  <si>
    <t>44446861</t>
  </si>
  <si>
    <t>CADENAS SANCHEZ GIANCARLO</t>
  </si>
  <si>
    <t>23095051</t>
  </si>
  <si>
    <t>CALDAS JOAQUIN LUCY EMILAR</t>
  </si>
  <si>
    <t>41418903</t>
  </si>
  <si>
    <t xml:space="preserve">CALDAS RAMIREZ  FANNY ELSA </t>
  </si>
  <si>
    <t>TRABAJADOR/A SOCIAL</t>
  </si>
  <si>
    <t>15726274</t>
  </si>
  <si>
    <t>CALDERON SIMBRON LOURDES AMERICA</t>
  </si>
  <si>
    <t>LICENCIADO EN TRABAJO SOCIAL</t>
  </si>
  <si>
    <t>43598492</t>
  </si>
  <si>
    <t>CAMARGO CONDOR LUIS ANTONIO</t>
  </si>
  <si>
    <t>MEDICO</t>
  </si>
  <si>
    <t>74626942</t>
  </si>
  <si>
    <t>CAMPOS RODRIGUEZ JUAN DIEGO</t>
  </si>
  <si>
    <t>25434816</t>
  </si>
  <si>
    <t>CAMPOS SUAREZ TEOBALDO CARMELO</t>
  </si>
  <si>
    <t>43685009</t>
  </si>
  <si>
    <t>CANALES AMAYA PAUL GIOVANNI</t>
  </si>
  <si>
    <t>71713906</t>
  </si>
  <si>
    <t>CANCHO GARCIA KLINSMAN KLAUS</t>
  </si>
  <si>
    <t>43332344</t>
  </si>
  <si>
    <t>CAPILLO BARRIGA CARLA SUSAN</t>
  </si>
  <si>
    <t>48092022</t>
  </si>
  <si>
    <t>CARBAJAL DOMINGUEZ PATRICIA PILAR</t>
  </si>
  <si>
    <t>46727292</t>
  </si>
  <si>
    <t>CARBAJAL VILCHEZ LIZ KELLY</t>
  </si>
  <si>
    <t>43253461</t>
  </si>
  <si>
    <t>CARBONEL CARRIL SARAH CAROLINA</t>
  </si>
  <si>
    <t>TRABAJADOR DE SERVICIOS GENERALES</t>
  </si>
  <si>
    <t>05586903</t>
  </si>
  <si>
    <t>CARDENAS SALAZAR NORMITA</t>
  </si>
  <si>
    <t>TRABAJADOR DE SERVICIO GENERALES</t>
  </si>
  <si>
    <t>10886476</t>
  </si>
  <si>
    <t>CARHUAS LARA CARMEN DINA</t>
  </si>
  <si>
    <t>43875728</t>
  </si>
  <si>
    <t>CARO AQUINO SONIA AMPARO</t>
  </si>
  <si>
    <t>45189243</t>
  </si>
  <si>
    <t>CARPIO AMEZ INDIRA BERENICE</t>
  </si>
  <si>
    <t>25549683</t>
  </si>
  <si>
    <t>CARPIO PARRA BRAULIO PEDRO</t>
  </si>
  <si>
    <t>46462654</t>
  </si>
  <si>
    <t>CARRANZA CARRASCO LUZ FAVIOLA</t>
  </si>
  <si>
    <t>45641392</t>
  </si>
  <si>
    <t>CARRASCO CARRASCO SILVIA PATRICIA</t>
  </si>
  <si>
    <t>45979405</t>
  </si>
  <si>
    <t>CASAPERALTA LLAZA LAYDY TERESA</t>
  </si>
  <si>
    <t>40600566</t>
  </si>
  <si>
    <t>CASAS BUITRON EVELYN ROXANA</t>
  </si>
  <si>
    <t>43306102</t>
  </si>
  <si>
    <t>CASTAÑEDA TOLEDO ANDREW MARTIN</t>
  </si>
  <si>
    <t>25692996</t>
  </si>
  <si>
    <t>CASTELLANOS DE JIMENEZ MARIA ISABEL</t>
  </si>
  <si>
    <t>41311910</t>
  </si>
  <si>
    <t>CASTILLA TASAICO WALTHER ALEXANDER</t>
  </si>
  <si>
    <t>44819089</t>
  </si>
  <si>
    <t>CASTILLO ALFARO INGRID STEPHANI</t>
  </si>
  <si>
    <t xml:space="preserve"> MEDICO GENERAL</t>
  </si>
  <si>
    <t>47987046</t>
  </si>
  <si>
    <t>CASTILLO CUBILLAS LINCOLN ISAAC</t>
  </si>
  <si>
    <t>41731421</t>
  </si>
  <si>
    <t>CASTILLO FERNANDEZ KAREN LIZETT</t>
  </si>
  <si>
    <t>44311248</t>
  </si>
  <si>
    <t>CASTILLO RODRIGUEZ MARTIN HERNAN</t>
  </si>
  <si>
    <t>44884958</t>
  </si>
  <si>
    <t>CASTRO ALVA ANGIE LUCIA</t>
  </si>
  <si>
    <t>41564706</t>
  </si>
  <si>
    <t>CASTRO PURISACA YIMY ANTENOR</t>
  </si>
  <si>
    <t>20722106</t>
  </si>
  <si>
    <t>CATANZARO ALIAGA MARIA ELENA</t>
  </si>
  <si>
    <t>46487060</t>
  </si>
  <si>
    <t>CCAHUANA MALLCCO LIZBETH</t>
  </si>
  <si>
    <t>44795987</t>
  </si>
  <si>
    <t>CCANTO CARDENAS JESY ESTHER</t>
  </si>
  <si>
    <t>44099060</t>
  </si>
  <si>
    <t>CCOILLO QUISPE EVELYN</t>
  </si>
  <si>
    <t>43941939</t>
  </si>
  <si>
    <t>CCOLQUESAÑA PEREZ JULIA</t>
  </si>
  <si>
    <t>07496685</t>
  </si>
  <si>
    <t xml:space="preserve">CERNA CONTRERAS ALFREDO MAXIMILIANO </t>
  </si>
  <si>
    <t>10882233</t>
  </si>
  <si>
    <t>CERNA SALIS NOEMI RAQUEL</t>
  </si>
  <si>
    <t>42795180</t>
  </si>
  <si>
    <t>CERRON CASTRO ELIDA</t>
  </si>
  <si>
    <t>06051144</t>
  </si>
  <si>
    <t>CERVANTES ROJAS SEGUNDO OCTAVIO</t>
  </si>
  <si>
    <t>45489536</t>
  </si>
  <si>
    <t xml:space="preserve">CHACON MORENO KELLY MARIBEL </t>
  </si>
  <si>
    <t>09637874</t>
  </si>
  <si>
    <t>CHAMANA MEJIA ROSA AYMA</t>
  </si>
  <si>
    <t>40037913</t>
  </si>
  <si>
    <t>CHAPOÑAN TEJADA HELIO SERGIO</t>
  </si>
  <si>
    <t>42031035</t>
  </si>
  <si>
    <t>CHAVEZ CUYA WALLY SHARON</t>
  </si>
  <si>
    <t>70438644</t>
  </si>
  <si>
    <t>CHAVEZ MELGAREJO CARMEN ROSA</t>
  </si>
  <si>
    <t>07513549</t>
  </si>
  <si>
    <t>CHAVEZ SEGUIN KATHYA ESPERANZA</t>
  </si>
  <si>
    <t>25523067</t>
  </si>
  <si>
    <t>CHERO ALCANTARA IRENE FIDELA</t>
  </si>
  <si>
    <t>32125999</t>
  </si>
  <si>
    <t>CHERRES DIAZ CELINDA BEATRIZ</t>
  </si>
  <si>
    <t>10219085</t>
  </si>
  <si>
    <t>CHUMBE MACAHUACHI BEATRIZ</t>
  </si>
  <si>
    <t>41372471</t>
  </si>
  <si>
    <t>CHUNGA PAIVA SEGUNDO ISIDRO</t>
  </si>
  <si>
    <t>INGENIERO DE ALIMENTOS</t>
  </si>
  <si>
    <t>40556385</t>
  </si>
  <si>
    <t>CHUQUIARQUE VILLA LIZ ROCIO</t>
  </si>
  <si>
    <t>41821539</t>
  </si>
  <si>
    <t>CHUQUILLANQUE RUIZ CELLY</t>
  </si>
  <si>
    <t>45780584</t>
  </si>
  <si>
    <t>COLLADO MAMANI LAYDI MILAGROS</t>
  </si>
  <si>
    <t>45812830</t>
  </si>
  <si>
    <t>CONDOR ROSALES KATTY VIOLETA</t>
  </si>
  <si>
    <t>43753012</t>
  </si>
  <si>
    <t xml:space="preserve">CONTRERAS AGUILAR LUIS ANGEL </t>
  </si>
  <si>
    <t>45681157</t>
  </si>
  <si>
    <t>CONTRERAS SAUÑE LUZ IVONNE</t>
  </si>
  <si>
    <t>43807708</t>
  </si>
  <si>
    <t>CONTTY CORNEJO MARIA DEL ROSARIO</t>
  </si>
  <si>
    <t>25764595</t>
  </si>
  <si>
    <t>CORAZON RAMIREZ RICARDO ENRIQUE</t>
  </si>
  <si>
    <t>41250315</t>
  </si>
  <si>
    <t>CORRALES TAPIA VANESSA LORENA</t>
  </si>
  <si>
    <t>09915624</t>
  </si>
  <si>
    <t>CORREA BRAVO ROXANA ELIZABETH</t>
  </si>
  <si>
    <t>46606942</t>
  </si>
  <si>
    <t xml:space="preserve">CRISTOBAL VILLAR LUIS MIGUEL </t>
  </si>
  <si>
    <t>40999972</t>
  </si>
  <si>
    <t xml:space="preserve">CRUZ MASIAS RICARDO CRISTOPHER </t>
  </si>
  <si>
    <t>70432011</t>
  </si>
  <si>
    <t>CRUZ STUART LIZ JANETTE</t>
  </si>
  <si>
    <t>46333699</t>
  </si>
  <si>
    <t>CRUZADO LEDESMA CARMEN AMANDA</t>
  </si>
  <si>
    <t>25413386</t>
  </si>
  <si>
    <t>CRUZADO VASQUEZ EMIGDIO</t>
  </si>
  <si>
    <t>48339280</t>
  </si>
  <si>
    <t>CUELLAR SANCHEZ MARIA LUISA</t>
  </si>
  <si>
    <t>10470710</t>
  </si>
  <si>
    <t>CUEVA VALLADARES BENEDICTA VICTORIA</t>
  </si>
  <si>
    <t>46451498</t>
  </si>
  <si>
    <t>CULQUE DEZA JHOEL ANTONIO</t>
  </si>
  <si>
    <t>25819792</t>
  </si>
  <si>
    <t>DAGA LLASHAG ELSA</t>
  </si>
  <si>
    <t>40046619</t>
  </si>
  <si>
    <t>DAGA LLASHAG YOVANNA</t>
  </si>
  <si>
    <t>40714635</t>
  </si>
  <si>
    <t>DE LA CRUZ HUAYTALLA ROCIO MILAGROS</t>
  </si>
  <si>
    <t>72235696</t>
  </si>
  <si>
    <t>DEL AGUILA DORADOR DENNIS ELBER</t>
  </si>
  <si>
    <t>TECNOLOGO MEDICO - OPTOMETRIA</t>
  </si>
  <si>
    <t>46246171</t>
  </si>
  <si>
    <t>DEL PINO PACHECO ANA KARINA</t>
  </si>
  <si>
    <t>25484062</t>
  </si>
  <si>
    <t>DELGADO ALVARADO ADRIANA</t>
  </si>
  <si>
    <t>25486427</t>
  </si>
  <si>
    <t>DELGADO ARZOLA SERGIO EDILBERTO</t>
  </si>
  <si>
    <t>44790360</t>
  </si>
  <si>
    <t>DELGADO RUIZ BLANCA ELVIRA NATHALY</t>
  </si>
  <si>
    <t>42752465</t>
  </si>
  <si>
    <t>DIAZ ESPINOZA YHENNIPHERT KATHLEEN</t>
  </si>
  <si>
    <t>41233443</t>
  </si>
  <si>
    <t>DIAZ SALCEDO JULIO CESAR</t>
  </si>
  <si>
    <t>43226266</t>
  </si>
  <si>
    <t>DIBURCIO RAMOS PAMELA PILAR</t>
  </si>
  <si>
    <t>71222247</t>
  </si>
  <si>
    <t>DOMINGUEZ SAAVEDRA FLOR MARIA ANGELLINA</t>
  </si>
  <si>
    <t>25667833</t>
  </si>
  <si>
    <t>EGUSQUIZA CORDOVA FRANCISCO ALFREDO</t>
  </si>
  <si>
    <t>06145528</t>
  </si>
  <si>
    <t>ENCISO CCACCYA FANNY SUSI</t>
  </si>
  <si>
    <t>TECNICO EN ESTADISTICA</t>
  </si>
  <si>
    <t>17630597</t>
  </si>
  <si>
    <t>ENEQUE RODRIGUEZ ROBERTO</t>
  </si>
  <si>
    <t>25580943</t>
  </si>
  <si>
    <t>ERQUIAGA SAAVEDRA MANUEL JAVIER</t>
  </si>
  <si>
    <t>EDUCADOR PARA LA SALUD</t>
  </si>
  <si>
    <t>25592104</t>
  </si>
  <si>
    <t>ESCARCENA MARZANO FRANCISCO ADOLFO</t>
  </si>
  <si>
    <t>43124152</t>
  </si>
  <si>
    <t>ESCOBAR ESTRADA LUZ MARIA</t>
  </si>
  <si>
    <t>25817249</t>
  </si>
  <si>
    <t>ESCOBEDO PALACIOS ROSENDO ALEJANDRO</t>
  </si>
  <si>
    <t>INGENIERO  CON ESPECIALIDAD EN MEDIO AMBIENTAL</t>
  </si>
  <si>
    <t>07419836</t>
  </si>
  <si>
    <t>ESPADA GARCIA HERMILIO RAFAEL</t>
  </si>
  <si>
    <t>40312424</t>
  </si>
  <si>
    <t>ESPINOZA CCOYLLO ROSA LEOCADIA</t>
  </si>
  <si>
    <t>42067191</t>
  </si>
  <si>
    <t>ESPINOZA DELGADO ELIZABETH CAROL</t>
  </si>
  <si>
    <t>72361517</t>
  </si>
  <si>
    <t>ESPINOZA GAMARRA THALIA ESTRELLA</t>
  </si>
  <si>
    <t>46760895</t>
  </si>
  <si>
    <t>ESPINOZA OLIVEROS SOFIA JAZMIN</t>
  </si>
  <si>
    <t>43704128</t>
  </si>
  <si>
    <t>ESPINOZA OSCO SILVA ELIZABETH</t>
  </si>
  <si>
    <t>41081969</t>
  </si>
  <si>
    <t>ESPINOZA TORPOCO ERICK GIOVANNI</t>
  </si>
  <si>
    <t>ASISTENTA SOCIAL</t>
  </si>
  <si>
    <t>06956538</t>
  </si>
  <si>
    <t>ESQUECHE CASTAÑEDA MILAGROS DEL CARMEN</t>
  </si>
  <si>
    <t>LICENCIADO EN BIOLOGIA</t>
  </si>
  <si>
    <t>43532489</t>
  </si>
  <si>
    <t>ESTRADA CALIXTO CARLOS BENITO</t>
  </si>
  <si>
    <t>46321605</t>
  </si>
  <si>
    <t>ESTRADA PALOMINO NIDIA</t>
  </si>
  <si>
    <t>TECNICO EN COMPUTACION E INFORMATICA</t>
  </si>
  <si>
    <t>25704163</t>
  </si>
  <si>
    <t>FAJARDO DELGADO BLANCA JEANETTE</t>
  </si>
  <si>
    <t>44800019</t>
  </si>
  <si>
    <t>FALCONI ENCISO YESICA</t>
  </si>
  <si>
    <t>41556104</t>
  </si>
  <si>
    <t>FARROÑAY ISIQUE DAISY ROSEMARY</t>
  </si>
  <si>
    <t>25516214</t>
  </si>
  <si>
    <t>FERNANDEZ CHAVEZ MANUEL REYMUNDO</t>
  </si>
  <si>
    <t>45548723</t>
  </si>
  <si>
    <t>FERNANDEZ SANTOS JOSE ANTONIO</t>
  </si>
  <si>
    <t>47996944</t>
  </si>
  <si>
    <t>FERROÑAN ALARCON TOMASITA VANESA</t>
  </si>
  <si>
    <t>46244070</t>
  </si>
  <si>
    <t>FIESTAS LLENQUE PAMELA ANTUANET</t>
  </si>
  <si>
    <t>TECNICO EN SOPORTE INFORMATICO</t>
  </si>
  <si>
    <t>25778037</t>
  </si>
  <si>
    <t>FIESTAS VARGAS GERARDO FRANCO</t>
  </si>
  <si>
    <t>TECNICO EN INFORMATICA</t>
  </si>
  <si>
    <t>25609267</t>
  </si>
  <si>
    <t>FLORES CARRILLO JULIO CESAR</t>
  </si>
  <si>
    <t>07525608</t>
  </si>
  <si>
    <t>FLORES DELGADO PATRICIA ROXANA</t>
  </si>
  <si>
    <t>40264752</t>
  </si>
  <si>
    <t>FLORES ENRIQUEZ GISELLA CASILDA</t>
  </si>
  <si>
    <t>08606818</t>
  </si>
  <si>
    <t>FLORES GONZALES RAFAEL ANGEL</t>
  </si>
  <si>
    <t>70327263</t>
  </si>
  <si>
    <t>FLORES RODRIGUEZ WUILMER DAVID LUIS</t>
  </si>
  <si>
    <t>43280734</t>
  </si>
  <si>
    <t>FLORES ROSADO MARITZA ELIZABETH</t>
  </si>
  <si>
    <t>42954291</t>
  </si>
  <si>
    <t>FLORES SALAZAR JACKELYN</t>
  </si>
  <si>
    <t>44128736</t>
  </si>
  <si>
    <t>FLORES ZAVALETA HECTOR AMADO</t>
  </si>
  <si>
    <t>25651749</t>
  </si>
  <si>
    <t>GALARRETA BARRAGAN BLANCA NIEVES</t>
  </si>
  <si>
    <t>25582855</t>
  </si>
  <si>
    <t>GALINDO SORIA ZADITH PATRICIA</t>
  </si>
  <si>
    <t>40470338</t>
  </si>
  <si>
    <t>GALLEGOS CACERES TERESA ELIZABETH</t>
  </si>
  <si>
    <t>29280546</t>
  </si>
  <si>
    <t>GALLEGOS CANO MATILDE GLADYS</t>
  </si>
  <si>
    <t>29678103</t>
  </si>
  <si>
    <t>GALLEGOS GALARZA ROXANA</t>
  </si>
  <si>
    <t>41080439</t>
  </si>
  <si>
    <t>GALVAN HUAYLLACCAHUA YOSHI GUIOVANA</t>
  </si>
  <si>
    <t>MEDICO VETERINARIO</t>
  </si>
  <si>
    <t>25705867</t>
  </si>
  <si>
    <t>GAMARRA CHAVARRY NORMA OFELIA</t>
  </si>
  <si>
    <t>43245058</t>
  </si>
  <si>
    <t>GAMBOA ALARCON MARIA ESTHER</t>
  </si>
  <si>
    <t>40839608</t>
  </si>
  <si>
    <t>GAMBOA LEON LIDIA YESSICA</t>
  </si>
  <si>
    <t>25816890</t>
  </si>
  <si>
    <t>GANOZA BORJAS ROBERTO</t>
  </si>
  <si>
    <t>UE: 400 DIRECCION REGIONAL DE SALUD DEL CALLAO</t>
  </si>
  <si>
    <t xml:space="preserve">SAMU  </t>
  </si>
  <si>
    <t>UE: 402 HOSPITAL SAN JOSE</t>
  </si>
  <si>
    <t xml:space="preserve"> ARTESANO I - STA</t>
  </si>
  <si>
    <t xml:space="preserve"> ARTESANO I - STB</t>
  </si>
  <si>
    <t xml:space="preserve"> ARTESANO I - STE</t>
  </si>
  <si>
    <t xml:space="preserve"> ASIST. ADMINIST. I - SPE</t>
  </si>
  <si>
    <t xml:space="preserve"> ASIST. ADMINIST. I - SPF</t>
  </si>
  <si>
    <t xml:space="preserve"> ASIST. EN SERV.DE SALUD I - SPE</t>
  </si>
  <si>
    <t xml:space="preserve"> ASIST. EN SERV.ECO-FIN.I - SPD</t>
  </si>
  <si>
    <t xml:space="preserve"> AUDITOR I - SPF</t>
  </si>
  <si>
    <t xml:space="preserve"> AUX. DE ESTADISTICA I - SAB</t>
  </si>
  <si>
    <t xml:space="preserve"> AUX. DE ESTADISTICA I - SAD</t>
  </si>
  <si>
    <t xml:space="preserve"> AUX. DE SIST. ADMINIST. I - SAB</t>
  </si>
  <si>
    <t xml:space="preserve"> AUX. DE SIST. ADMINIST. I - SAD</t>
  </si>
  <si>
    <t xml:space="preserve"> AUXILIAR ADMINISTRATIVO - SAF</t>
  </si>
  <si>
    <t xml:space="preserve"> CHOFER I - STA</t>
  </si>
  <si>
    <t xml:space="preserve"> CHOFER I - STE</t>
  </si>
  <si>
    <t xml:space="preserve"> CHOFER I - STF</t>
  </si>
  <si>
    <t xml:space="preserve"> DIGITADOR P.A.D. I - SAA</t>
  </si>
  <si>
    <t xml:space="preserve"> ESP. ADMINIST. I - SPD</t>
  </si>
  <si>
    <t xml:space="preserve"> ESP. ADMINIST. II - SPC</t>
  </si>
  <si>
    <t xml:space="preserve"> OPERAD. CENTRAL TELEF. I - SAD</t>
  </si>
  <si>
    <t xml:space="preserve"> SECRETARIA I - STF</t>
  </si>
  <si>
    <t xml:space="preserve"> SECRETARIA IV - STA</t>
  </si>
  <si>
    <t xml:space="preserve"> SECRETARIA IV - STB</t>
  </si>
  <si>
    <t xml:space="preserve"> SUB DIRECTOR - F-3</t>
  </si>
  <si>
    <t xml:space="preserve"> TEC. EN ESTADISTICA I - STB</t>
  </si>
  <si>
    <t xml:space="preserve"> TECNICO/A ADMINIST. I - STA</t>
  </si>
  <si>
    <t xml:space="preserve"> TECNICO/A ADMINIST. I - STB</t>
  </si>
  <si>
    <t xml:space="preserve"> TECNICO/A ADMINIST. I - STD</t>
  </si>
  <si>
    <t xml:space="preserve"> TECNICO/A ADMINIST. I - STF</t>
  </si>
  <si>
    <t xml:space="preserve"> TECNICO/A ADMINIST. II - STA</t>
  </si>
  <si>
    <t xml:space="preserve"> TRABAJADOR DE SERVIC. I - SAD</t>
  </si>
  <si>
    <t xml:space="preserve"> TRABAJADOR/A DE SERV. GRAL - SAD</t>
  </si>
  <si>
    <t xml:space="preserve"> ASIST. EN SERV.SOCIAL I - SPF</t>
  </si>
  <si>
    <t xml:space="preserve"> ASIST. SOCIAL - OPS-V</t>
  </si>
  <si>
    <t xml:space="preserve"> ASIST. SOCIAL I - OPS-IV</t>
  </si>
  <si>
    <t xml:space="preserve"> CIRUJANO DENTISTA - V</t>
  </si>
  <si>
    <t xml:space="preserve"> CIRUJANO DENTISTA IV - I</t>
  </si>
  <si>
    <t xml:space="preserve"> ENFERMERA/O - 10</t>
  </si>
  <si>
    <t xml:space="preserve"> ENFERMERA/O - 11</t>
  </si>
  <si>
    <t xml:space="preserve"> ENFERMERA/O - 14</t>
  </si>
  <si>
    <t xml:space="preserve"> ENFERMERA/O I - 10</t>
  </si>
  <si>
    <t xml:space="preserve"> ENFERMERA/O I - 11</t>
  </si>
  <si>
    <t xml:space="preserve"> ENFERMERA/O I - 14</t>
  </si>
  <si>
    <t xml:space="preserve"> MEDICO I - 1º</t>
  </si>
  <si>
    <t xml:space="preserve"> MEDICO I - 2º</t>
  </si>
  <si>
    <t xml:space="preserve"> MEDICO I - 3º</t>
  </si>
  <si>
    <t xml:space="preserve"> MEDICO I - 4º</t>
  </si>
  <si>
    <t xml:space="preserve"> MEDICO I - 5º</t>
  </si>
  <si>
    <t xml:space="preserve"> MEDICO II - 5º</t>
  </si>
  <si>
    <t xml:space="preserve"> MEDICO III - 5º</t>
  </si>
  <si>
    <t xml:space="preserve"> MEDICO IV - 4º</t>
  </si>
  <si>
    <t xml:space="preserve"> MEDICO IV - 5º</t>
  </si>
  <si>
    <t xml:space="preserve"> NUTRICIONISTA - OPS-IV</t>
  </si>
  <si>
    <t xml:space="preserve"> NUTRICIONISTA - OPS-VI</t>
  </si>
  <si>
    <t xml:space="preserve"> OBSTETRA - I</t>
  </si>
  <si>
    <t xml:space="preserve"> OBSTETRA - II</t>
  </si>
  <si>
    <t xml:space="preserve"> OBSTETRA - IV</t>
  </si>
  <si>
    <t xml:space="preserve"> OBSTETRA - V</t>
  </si>
  <si>
    <t xml:space="preserve"> OBSTETRA I - I</t>
  </si>
  <si>
    <t xml:space="preserve"> OBSTETRA I - II</t>
  </si>
  <si>
    <t xml:space="preserve"> OBSTETRA I - III</t>
  </si>
  <si>
    <t xml:space="preserve"> PSICOLOGO - OPS-IV</t>
  </si>
  <si>
    <t xml:space="preserve"> PSICOLOGO - OPS-V</t>
  </si>
  <si>
    <t xml:space="preserve"> PSICOLOGO - OPS-VIII</t>
  </si>
  <si>
    <t xml:space="preserve"> PSICOLOGO I - OPS-IV</t>
  </si>
  <si>
    <t xml:space="preserve"> PSICOLOGO I - OPS-V</t>
  </si>
  <si>
    <t xml:space="preserve"> QUIMICO FARMACEUTICO - OPS-IV</t>
  </si>
  <si>
    <t xml:space="preserve"> QUIMICO FARMACEUTICO - OPS-V</t>
  </si>
  <si>
    <t xml:space="preserve"> TECNOLOGO MEDICO - I</t>
  </si>
  <si>
    <t xml:space="preserve"> TECNOLOGO MEDICO - II</t>
  </si>
  <si>
    <t xml:space="preserve"> TECNOLOGO MEDICO I - II</t>
  </si>
  <si>
    <t xml:space="preserve"> AUX. DE ASIST. SOCIAL I - SAC</t>
  </si>
  <si>
    <t xml:space="preserve"> AUX. DE ENFERMERIA I - SAB</t>
  </si>
  <si>
    <t xml:space="preserve"> AUX. DE ENFERMERIA I - SAF</t>
  </si>
  <si>
    <t xml:space="preserve"> AUX. DE NUTRICION I - SAC</t>
  </si>
  <si>
    <t xml:space="preserve"> AUX. DE NUTRICION I - SAD</t>
  </si>
  <si>
    <t xml:space="preserve"> AUX. DE NUTRICION I - SAF</t>
  </si>
  <si>
    <t xml:space="preserve"> AUX. SANITARIO I - SAF</t>
  </si>
  <si>
    <t xml:space="preserve"> OPERAD. EQUIPO MEDICO I - STC</t>
  </si>
  <si>
    <t xml:space="preserve"> OPERAD. EQUIPO MEDICO I - STF</t>
  </si>
  <si>
    <t xml:space="preserve"> TEC. EN ENFERMERIA - STA</t>
  </si>
  <si>
    <t xml:space="preserve"> TEC. EN ENFERMERIA - STC</t>
  </si>
  <si>
    <t xml:space="preserve"> TEC. EN ENFERMERIA - STF</t>
  </si>
  <si>
    <t xml:space="preserve"> TEC. EN ENFERMERIA I - STA</t>
  </si>
  <si>
    <t xml:space="preserve"> TEC. EN ENFERMERIA I - STB</t>
  </si>
  <si>
    <t xml:space="preserve"> TEC. EN ENFERMERIA I - STC</t>
  </si>
  <si>
    <t xml:space="preserve"> TEC. EN ENFERMERIA I - STE</t>
  </si>
  <si>
    <t xml:space="preserve"> TEC. EN ENFERMERIA I - STF</t>
  </si>
  <si>
    <t xml:space="preserve"> TEC. EN FARMACIA I - STC</t>
  </si>
  <si>
    <t xml:space="preserve"> TEC. EN FARMACIA I - STF</t>
  </si>
  <si>
    <t xml:space="preserve"> TEC. EN LABORATORIO I - STC</t>
  </si>
  <si>
    <t xml:space="preserve"> TEC. EN LABORATORIO I - STF</t>
  </si>
  <si>
    <t xml:space="preserve"> TEC.ESPECIALIZ. RAYOS X - OPS-I</t>
  </si>
  <si>
    <t xml:space="preserve"> TECNICO/A EN REHABILITACIO - STF</t>
  </si>
  <si>
    <t>INTERNOS MEDICINA - REMUNERADOS</t>
  </si>
  <si>
    <t>1 ADQUISICIÓN DE EQUIPOS DE FACOEMULSIFICACIÓN O EXTRUSIÓN O ACCESORIOS PARA CIRUGÍA OFTÁLMICA, EQUIPO ECÓGRAFO MULTIPROPOSITO DE MULTIFRECUENCIA DE ALTA RESOLUCION, MICROSCOPIOS OCULARES, MESA DE OPERACIONES HIDRAULICA/ELECTRICA Y EQUIPO DE ANESTESIA</t>
  </si>
  <si>
    <t>ADJUDICACIÓN SIMPLIFICADA</t>
  </si>
  <si>
    <t>ADMINISTRACIÓN DIRECTA</t>
  </si>
  <si>
    <t>LA IOARR NO CUENTA CON NÙMERO DE PROCESO</t>
  </si>
  <si>
    <t xml:space="preserve">LA IOARR NO CUENTA CON CONTRATO </t>
  </si>
  <si>
    <t>EN EJECUCIÓN</t>
  </si>
  <si>
    <t>EN EL PRESENTE AÑO 2020 SE EJECUTARÁN 3 DE LOS 5 EQUIPOS QUE CONTIENE LA IOARR. EN EL AÑO 2021 SE EJECUTARÀN LOS SIGUIENTES EQUIPOS: EQUIPO DE FACOEMULSIFICACIÓN Y LOS MICROSCOPIOS OCULARES</t>
  </si>
  <si>
    <t>2 ADQUISICION DE ECOCARDIOGRAFO, ELECTROCARDIOGRAFO Y EQUIPO DE OTROS ACTIVOS COMPLEMENTARIOS</t>
  </si>
  <si>
    <t>APROBADO</t>
  </si>
  <si>
    <t>3 ADQUISICION DE TOMOGRAFO Y MAMOGRAFO</t>
  </si>
  <si>
    <t xml:space="preserve">LICITACIÓN PÚBLICA </t>
  </si>
  <si>
    <t>4 ADQUISICIÓN DE TERRENO</t>
  </si>
  <si>
    <t>CONTRATACION DIRECTA</t>
  </si>
  <si>
    <t>EN ELABORACIÓN DE DOCUMENTO EQUIVALENTE</t>
  </si>
  <si>
    <t>5 ADQUISICION DE BALANZA DE PIE CON TALLIMETRO, BICICLETA ERGONOMETRICA, ELECTROCARDIOGRAFO Y EQUIPO DE TERAPIA COMBINADA; ADEMÁS DE OTROS ACTIVOS</t>
  </si>
  <si>
    <t>DOCUMENTO EQUIVALENTE APROBADO</t>
  </si>
  <si>
    <t>6 ADQUISICION DE EQUIPO DE TERAPIA CON ULTRASONIDO, EQUIPO ECOGRAFO, EQUIPO DE TERAPIA LASER Y EQUIPO DE TERAPIA CON ONDA CORTA</t>
  </si>
  <si>
    <t>SALDO 2018 (*)</t>
  </si>
  <si>
    <t>SALDO 2019 (**)</t>
  </si>
  <si>
    <t>00000-876046</t>
  </si>
  <si>
    <t>00000-876070</t>
  </si>
  <si>
    <t>00000-876291</t>
  </si>
  <si>
    <t>HOSPITAL SAN JOSE</t>
  </si>
  <si>
    <t>AGUIRRE ZAVALAGA JULIO CESAR</t>
  </si>
  <si>
    <t>LIC. EN ADMINISTRACIÓN</t>
  </si>
  <si>
    <t>UNIVERSITARIO</t>
  </si>
  <si>
    <t>001-2019</t>
  </si>
  <si>
    <t>001-20109</t>
  </si>
  <si>
    <t>73607017</t>
  </si>
  <si>
    <t>CASTROMONTE HIDALGO SHARLY HARLY</t>
  </si>
  <si>
    <t>TEC. EN ADMINISTRACION DE NEGOCIOS INTERNACIONALES</t>
  </si>
  <si>
    <t>SUPERIOR</t>
  </si>
  <si>
    <t>002-2019</t>
  </si>
  <si>
    <t>15431781</t>
  </si>
  <si>
    <t>CUBA NOLASCO PABLO LUIS</t>
  </si>
  <si>
    <t>EGRESADO EN TRABAJO SOCIAL</t>
  </si>
  <si>
    <t xml:space="preserve">DIPLOMA DE EGRESADO </t>
  </si>
  <si>
    <t>003-2019</t>
  </si>
  <si>
    <t>45925803</t>
  </si>
  <si>
    <t>MAROCHO MAMANI VANESSA ELIZABETH</t>
  </si>
  <si>
    <t>TEC. EN ADMINISTRACION DE NEGOCIOS</t>
  </si>
  <si>
    <t>004-2019</t>
  </si>
  <si>
    <t>DIRECTOR EJECUTIVO</t>
  </si>
  <si>
    <t>25697416</t>
  </si>
  <si>
    <t>MITTA CURAY EVER RAMIRO</t>
  </si>
  <si>
    <t>MEDICO CIRUJANO</t>
  </si>
  <si>
    <t>MEDICO ESPECIALISTA EN TRAUMATOLOGÍA</t>
  </si>
  <si>
    <t>43342024</t>
  </si>
  <si>
    <t>QUINCHO BERROCAL ROGER</t>
  </si>
  <si>
    <t>006-2019</t>
  </si>
  <si>
    <t>MEDICO ESPECIALISTA MEDICINA INTENSIVA</t>
  </si>
  <si>
    <t>71737856</t>
  </si>
  <si>
    <t>VASQUEZ GARCIA GELSING RICHARD</t>
  </si>
  <si>
    <t>007-2019</t>
  </si>
  <si>
    <t>MÉDICO CIRUJANO GENERAL</t>
  </si>
  <si>
    <t>45324808</t>
  </si>
  <si>
    <t>ANCCO DUCOS JUAN CARLOS</t>
  </si>
  <si>
    <t>025-2020</t>
  </si>
  <si>
    <t>41421011</t>
  </si>
  <si>
    <t>AQUINO CRISTOBAL TITO VLADIMIR</t>
  </si>
  <si>
    <t>022-2020</t>
  </si>
  <si>
    <t>MÉDICO PSIQUIATRA</t>
  </si>
  <si>
    <t>44751942</t>
  </si>
  <si>
    <t>OTTA OSHIRO SUSANA SAKURA</t>
  </si>
  <si>
    <t>024-2020</t>
  </si>
  <si>
    <t>MEDICO TRAUMATOLOGO</t>
  </si>
  <si>
    <t>41215182</t>
  </si>
  <si>
    <t>PASTOR LOPEZ MAURICIO</t>
  </si>
  <si>
    <t>021-2020</t>
  </si>
  <si>
    <t>SUB DIRECTOR</t>
  </si>
  <si>
    <t>09027567</t>
  </si>
  <si>
    <t>QUIÑE OLIVA ROSAURA ESPERANZA</t>
  </si>
  <si>
    <t>001-2020</t>
  </si>
  <si>
    <t>MEDICO INTERNISTA</t>
  </si>
  <si>
    <t>46035701</t>
  </si>
  <si>
    <t>SUAREZ VELA ROSARIO LOURDES</t>
  </si>
  <si>
    <t>023-2020</t>
  </si>
  <si>
    <t>VALERIA DE CARLO ZAMBRANO FREYRE</t>
  </si>
  <si>
    <t>NINA CHAUCA, MARIA ANA</t>
  </si>
  <si>
    <t>RIVERA  PEREZ , FEDERICO</t>
  </si>
  <si>
    <t>06725084</t>
  </si>
  <si>
    <t xml:space="preserve"> CASTRO MAGLUF ,ALFONSO DANIEL</t>
  </si>
  <si>
    <t>ROSA CHAVARRIA VDA DE RAMOS</t>
  </si>
  <si>
    <t xml:space="preserve">I.E. RAUL PORRAS 
BARRENECHEA </t>
  </si>
  <si>
    <t>ROCAV TRADING S.A.C</t>
  </si>
  <si>
    <t>CLUB DEPORTIVO DEFENSOR REYNOSO</t>
  </si>
  <si>
    <t>UE 402 HOSPITAL SAN JOSE</t>
  </si>
  <si>
    <t>UNIDAD EJECUTORA: 403 HOSPITAL DE VENTANILLA</t>
  </si>
  <si>
    <t>FORMATO 09: COMPARATIVO DEL NÚMERO DE PLAZAS EN EL PRESUPUESTO 2018, 2019 Y PROYECTO 2020</t>
  </si>
  <si>
    <t>REGIMEN N° 1057</t>
  </si>
  <si>
    <t xml:space="preserve">SUB TOTAL </t>
  </si>
  <si>
    <t>UE: 403 HOSPITAL DE VENTANILLA</t>
  </si>
  <si>
    <t>FORMATO 10: INFORMACIÓN DE REMUNERACIONES Y NÚMERO DE PLAZAS - PRESUPUESTO 2018, 2019 Y PROYECTO 2020</t>
  </si>
  <si>
    <t>SEGUROS (ESPECIFICAR) Seguro Complementario de Trabajo y Riesgo</t>
  </si>
  <si>
    <t>OTROS (ESPECIFICAR) (**) Guardias, Bonos, CTS, Vac, Truncas, Asignación por cumplir 25 y 30 años, etc.</t>
  </si>
  <si>
    <t>FORMATO 11: INGRESOS MENSUALES POR PERIODO DEL PERSONAL ACTIVO -  COMPARATIVO PRESUPUESTO 2018, 2019 Y PROYECTO 2020</t>
  </si>
  <si>
    <t>SUB TOTAL  (1)</t>
  </si>
  <si>
    <r>
      <rPr>
        <b/>
        <sz val="14"/>
        <rFont val="Arial Narrow"/>
        <family val="2"/>
      </rPr>
      <t xml:space="preserve">LAS COLUMNAS COMO SEAN NECESARIAS, </t>
    </r>
    <r>
      <rPr>
        <sz val="14"/>
        <rFont val="Arial Narrow"/>
        <family val="2"/>
      </rPr>
      <t xml:space="preserve">SE CONSIGNARA LOS OTROS BENEFICIOS - ASIGNACIONES MENSUALES PERIODICOS  DE UN SERVIDOR EN CADA NIVEL SEGÚN CORRESPONDA NO CONSIGNADO EN LOS </t>
    </r>
  </si>
  <si>
    <r>
      <rPr>
        <b/>
        <sz val="14"/>
        <rFont val="Arial Narrow"/>
        <family val="2"/>
      </rPr>
      <t xml:space="preserve">LAS COLUMNAS COMO SEAN NECESARIAS, </t>
    </r>
    <r>
      <rPr>
        <sz val="14"/>
        <rFont val="Arial Narrow"/>
        <family val="2"/>
      </rPr>
      <t xml:space="preserve">SE CONSIGNARA LOS OTROS BENEFICIOS - ASIGNACIONES PERIODICOS O NO PERIODICAS DE UN SERVIDOR EN CADA NIVEL SEGÚN CORRESPONDA NO CONSIGNADO EN LOS </t>
    </r>
  </si>
  <si>
    <t>GOB. REGIONAL: 464 GOBIERNO REGIONAL PROVINCIAL DEL CALLAO</t>
  </si>
  <si>
    <r>
      <t xml:space="preserve">UE: </t>
    </r>
    <r>
      <rPr>
        <sz val="14"/>
        <rFont val="Arial Narrow"/>
        <family val="2"/>
      </rPr>
      <t>403 - HOSPITAL DE VENTANILLA</t>
    </r>
  </si>
  <si>
    <t>1 CONTRATACION DEL SERVICIO DE RECOJO, TRANSPORTE,TRATAMIENTO Y DISPOSICION FINAL DE RESIDUOS SOLIDOS PELIGROSOS.</t>
  </si>
  <si>
    <t>ADJUDICACION SIMPLIFICADA</t>
  </si>
  <si>
    <t>KANAY S.A.C</t>
  </si>
  <si>
    <t>CONCLUIDO</t>
  </si>
  <si>
    <t>2 ADQUISICION DE REACTIVOS PARA BIOQUIMICA CON EQUIPO EN CESION DE USO</t>
  </si>
  <si>
    <t>SISTEMAS ANALITICOS S.R.L.</t>
  </si>
  <si>
    <t>EJECUCION</t>
  </si>
  <si>
    <t>3 ADQUISICION DE REACTIVOS PARA INMUNOLOGIA CON EQUIPO EN CESION DE USO PARA LA UNIDAD  DE LABORATORIO</t>
  </si>
  <si>
    <t>DIAGNOSTICA PERUANA S.A.C.</t>
  </si>
  <si>
    <t xml:space="preserve">4 ADQUISICION DE OXIGENO GASESOSO MEDICINAL </t>
  </si>
  <si>
    <t>AIR PRODUCTS PERU S.A.</t>
  </si>
  <si>
    <t>5 ADQUISICION DE REACTIVOS PARA GASES ARTERIALES, ELECTROLITOS Y METABOLITOS CON EQUIPO EN CESION DE USOP PARA LA UNIDAD FUNCIONAL DE BIOQUIMICA</t>
  </si>
  <si>
    <t>02/10/219</t>
  </si>
  <si>
    <t>6 Mascarilla Descartable Buconasal</t>
  </si>
  <si>
    <t>DROCSA E.I.R.L.</t>
  </si>
  <si>
    <t>7 Adquisicion de Mandiles</t>
  </si>
  <si>
    <t>8 Amonio Cuaternario</t>
  </si>
  <si>
    <t>FERCO MEDICAL S.A.C.</t>
  </si>
  <si>
    <t>9 Alcohol en Gel</t>
  </si>
  <si>
    <t>NURIMEDD S.A.C.</t>
  </si>
  <si>
    <t>10 ADQUISICION DE KIT CHAQUETA Y PANTALON DESCARTABLE ESTERIL</t>
  </si>
  <si>
    <t>11 MANDIL QUIRURGICO ESTERIL DESCARTABLE TALLA M</t>
  </si>
  <si>
    <t>12 KIT CHAQUETA Y PANTALON DESCARTABLE ESTERIL</t>
  </si>
  <si>
    <t xml:space="preserve"> DROCSA E.I.R.L</t>
  </si>
  <si>
    <t>13 ADQUISICION DE TRAJE DESCARTABLE PARA PROTECCION TIPO MAMELUCO EN TELA NO TEJIDA POLIETILENO DE ALTA DENSIDAD TALLA XL</t>
  </si>
  <si>
    <t>IMPORTACIONES L &amp; A MEDIC S.A.C. DISTRIBUCIONES E INVERSIONES MEDIVET S.A.C.</t>
  </si>
  <si>
    <t>09/07/2020               01/07/2020</t>
  </si>
  <si>
    <t>14 Suministro de Kits de Reactivos para Marcadores Cardiacos de Emergencia con equipo en cesion de uso</t>
  </si>
  <si>
    <t>OTORGAMIENTO DE LA BUENA PRO</t>
  </si>
  <si>
    <t>15 Suministro de Determinaciones de Reactivos para Hemograma Automatizado Diferencial de 5 Estirpes con equipo en cesion de uso</t>
  </si>
  <si>
    <t>16 ADQUISICION DE TRAJE DESCARTABLE PARA PROTECCION TIPO MAMELUCO EN TELA NO TEJIDA DE POLIETILENO DE ALTA DENSIDAD TALLA XL</t>
  </si>
  <si>
    <t>BIOMEDICA REPRESENTACIONES S.A.C</t>
  </si>
  <si>
    <t xml:space="preserve">BANCO DE LA NACION </t>
  </si>
  <si>
    <t>000-068-324971</t>
  </si>
  <si>
    <t>S/</t>
  </si>
  <si>
    <t>0,00</t>
  </si>
  <si>
    <t>000-068-324998</t>
  </si>
  <si>
    <t>100,549,38</t>
  </si>
  <si>
    <t>100,549.38</t>
  </si>
  <si>
    <t>000-068-325595</t>
  </si>
  <si>
    <t>156,807,47</t>
  </si>
  <si>
    <t>000-068-327792</t>
  </si>
  <si>
    <t>420,540,52</t>
  </si>
  <si>
    <t>420,540.52</t>
  </si>
  <si>
    <t>000,068-324971</t>
  </si>
  <si>
    <t>707,313,00</t>
  </si>
  <si>
    <t xml:space="preserve"> - CONVENIO FED</t>
  </si>
  <si>
    <t>58,938,5</t>
  </si>
  <si>
    <t>FORMATO 17: NOMBRES E INGRESOS MENSUALES DEL PERSONAL CONTRATADO FUERA DEL PAP EN LOS AÑOS FISCALES 2018 Y 2019</t>
  </si>
  <si>
    <t>403- HOSPITAL DE VENTANILLA</t>
  </si>
  <si>
    <t>Recursos Ordinarios</t>
  </si>
  <si>
    <t>ENFERMERIA</t>
  </si>
  <si>
    <t>AGUILAR RAMOS ROXANA MILAGROS</t>
  </si>
  <si>
    <t>ENFERMERA(O)</t>
  </si>
  <si>
    <t>¨;…………………………………</t>
  </si>
  <si>
    <t>CAJA</t>
  </si>
  <si>
    <t>AGUILAR RIVAS ESTRELLA ELIZABETH</t>
  </si>
  <si>
    <t>CIRUGIA</t>
  </si>
  <si>
    <t>ALARCON GUTIERREZ DANIEL IVAN</t>
  </si>
  <si>
    <t>MEDICO GENETISTA</t>
  </si>
  <si>
    <t>FARMACIA</t>
  </si>
  <si>
    <t>AMES MANRIQUE MELINA AURELIA</t>
  </si>
  <si>
    <t xml:space="preserve">Servicio  de Psicología. </t>
  </si>
  <si>
    <t>ANGIE  LISSET NALVARTE AGUILAR</t>
  </si>
  <si>
    <t>OBSTETRICIA</t>
  </si>
  <si>
    <t>AQUINO POVIS LESLY NOHELI</t>
  </si>
  <si>
    <t>OBSTETRIZ</t>
  </si>
  <si>
    <t>MANTENIMIENTO</t>
  </si>
  <si>
    <t>AREVALO MALCA ANDRES AVELINO VILCA</t>
  </si>
  <si>
    <t>AUXILIAR EN MANTENIMIENTO</t>
  </si>
  <si>
    <t>REFERENCIAS</t>
  </si>
  <si>
    <t>AREVALO RUIZ JESSICA MELISSA</t>
  </si>
  <si>
    <t>SIS</t>
  </si>
  <si>
    <t>ARGUEDA CABRERA JORDY JENER</t>
  </si>
  <si>
    <t>LABORATORIO</t>
  </si>
  <si>
    <t>ARRATEA ARRIETA NUVIA CRISTINA</t>
  </si>
  <si>
    <t>PERSONAL</t>
  </si>
  <si>
    <t>ARROYO BALCAZAR GINGER SKARLETT</t>
  </si>
  <si>
    <t>COMEDOR</t>
  </si>
  <si>
    <t>BECERRA JIMENEZ CAMILO</t>
  </si>
  <si>
    <t>AUXILIAR DE COCINA</t>
  </si>
  <si>
    <t>ARCHIVO</t>
  </si>
  <si>
    <t>BERNUY FLORES ROSARIO CATHERINE</t>
  </si>
  <si>
    <t>BLAS BACILIO MERLYN CESIBEL</t>
  </si>
  <si>
    <t>AUXILIAR DE MANTENIMIENTO</t>
  </si>
  <si>
    <t>HOSP.DE GESTANTES</t>
  </si>
  <si>
    <t>BRINGAS PAREDES DORA MARIA</t>
  </si>
  <si>
    <t>CAJACHAGUA FALCON AVILIO ANCELMO</t>
  </si>
  <si>
    <t>CAJERO</t>
  </si>
  <si>
    <t>CALDAS BORJA GLORIA EMPERATRIZ</t>
  </si>
  <si>
    <t>RAYOS X</t>
  </si>
  <si>
    <t>CARRASCO ORIHUELA DEYSI</t>
  </si>
  <si>
    <t>TECNOLOGO MED-ESPEC.RADIOLOGIA</t>
  </si>
  <si>
    <t>CASAS FLORES LORENA FLABIA</t>
  </si>
  <si>
    <t>CASTAÑEDA LOPEZ MARGARITA ESTEFANIA</t>
  </si>
  <si>
    <t>CASTILLO MANCILLA JANET LESLIE</t>
  </si>
  <si>
    <t>PLANEAMIENTO</t>
  </si>
  <si>
    <t>CASTRO MONTENEGRO ALEJANDRO</t>
  </si>
  <si>
    <t>CCARHUAS CHIPANA CLEOFE</t>
  </si>
  <si>
    <t>CHAVEZ FOW YNGRID JENNIFER</t>
  </si>
  <si>
    <t>CHAVEZ MOZOMBITE EMILIA</t>
  </si>
  <si>
    <t>CHERO PINEDA ALICIA GIOVANNA</t>
  </si>
  <si>
    <t>AUXILIAR DE TOPICO MEDICO</t>
  </si>
  <si>
    <t>DIAGNOSTICO DE IMÁGENES</t>
  </si>
  <si>
    <t>CHIPANA ZARATE JUDITH</t>
  </si>
  <si>
    <t>CHUMPITAZ IPANAQUE JENNY LIZBETH</t>
  </si>
  <si>
    <t>HOSPI</t>
  </si>
  <si>
    <t>COBEÑAS OVIAGA MIRIAM AMALIA</t>
  </si>
  <si>
    <t>LIMPIEZA</t>
  </si>
  <si>
    <t>CONTRERAS MIÑANO DEYSI ARACELI YANELA</t>
  </si>
  <si>
    <t>CRUZ GUILLEN VILMA PAULA</t>
  </si>
  <si>
    <t>CUYA RUIZ DE COVEñAS SONIA ELENA</t>
  </si>
  <si>
    <t>EMERGENCIA</t>
  </si>
  <si>
    <t>DE LA CRUZ AFATT PEDRO ANTONIO</t>
  </si>
  <si>
    <t>DE LA CRUZ ASENCIOS JUAN RUSSEL</t>
  </si>
  <si>
    <t>DELGADO LOZANO RAQUEL STEPHANY</t>
  </si>
  <si>
    <t>MEDICO ANESTESIOLOGO</t>
  </si>
  <si>
    <t>DELGADO ZARAZU MARIA LUZMILA</t>
  </si>
  <si>
    <t>DURAND ACUÑA YANETH OTILIA</t>
  </si>
  <si>
    <t>Oficina de comunicaciones</t>
  </si>
  <si>
    <t>ELENA EMPERATRIZ QUISPE PASTOR</t>
  </si>
  <si>
    <t>TECNICO EN COMUNICACIÓN</t>
  </si>
  <si>
    <t>HOSPI-III</t>
  </si>
  <si>
    <t>ELGUERA GONZALES ROSA ESTILITA</t>
  </si>
  <si>
    <t>HOSPI-II</t>
  </si>
  <si>
    <t>ERAZO JARA JESSICA</t>
  </si>
  <si>
    <t>DENTAL</t>
  </si>
  <si>
    <t>ESPETIA TINTAYA GREGORIO FRUCTUOSO</t>
  </si>
  <si>
    <t>ODONTOLOGIA</t>
  </si>
  <si>
    <t>ESPETIA TORRES WALTER HUGO</t>
  </si>
  <si>
    <t>ESPINOZA SAN MARTIN CARMEN DEL ROSARIO</t>
  </si>
  <si>
    <t>LOGISTICA</t>
  </si>
  <si>
    <t>ESPINOZA SILVA ROSA LUZ</t>
  </si>
  <si>
    <t>FELIX COCA RAQUEL GIOVANNA</t>
  </si>
  <si>
    <t>MEDICO INFECTOLOGO</t>
  </si>
  <si>
    <t>FERNANDEZ ROJAS LUIS ALFREDO</t>
  </si>
  <si>
    <t>CAPACITACION</t>
  </si>
  <si>
    <t>FIESTAS ANTON SONIA GIOVANNA</t>
  </si>
  <si>
    <t>FIESTAS BECERRA ANITA CECILIA</t>
  </si>
  <si>
    <t>LICENCIADA EN OBSTETRICIA</t>
  </si>
  <si>
    <t>SOAT</t>
  </si>
  <si>
    <t>FLORES TORREJON CARLOS</t>
  </si>
  <si>
    <t>FLORIAN PANDURO RUTH AUGUSTA</t>
  </si>
  <si>
    <t>FUENTES POLANCO CARMEN JULIA</t>
  </si>
  <si>
    <t>COCINA</t>
  </si>
  <si>
    <t>GAMBOA SANCHEZ LOTTY LORENA</t>
  </si>
  <si>
    <t>AUXILIAR DE NUTRICION</t>
  </si>
  <si>
    <t>UCI-NEO</t>
  </si>
  <si>
    <t>GARAY CAJAS ELVA QUENIA</t>
  </si>
  <si>
    <t>GARCIA PACHECO DORIS NOEMI</t>
  </si>
  <si>
    <t>GASTULO DAVILA CINTHIA REBECA</t>
  </si>
  <si>
    <t>GIRALDO DE MOSTAJO NELLY ELISA</t>
  </si>
  <si>
    <t>Servicios de Enfermería del Hospital</t>
  </si>
  <si>
    <t>GISSELA NOELIA MALAVER AYALA</t>
  </si>
  <si>
    <t>ENFERMERA/O</t>
  </si>
  <si>
    <t>GONZALES RODRIGUEZ ELENA</t>
  </si>
  <si>
    <t>GUERRA SIRLUPU SANDRA PAOLA</t>
  </si>
  <si>
    <t>GUERRA VASQUEZ JOHANNA</t>
  </si>
  <si>
    <t>CALIDAD</t>
  </si>
  <si>
    <t>HERRERA RODRIGUEZ CLAUDIA ESTHER</t>
  </si>
  <si>
    <t>HERRERA RODRIGUEZ MARITZA RUBI</t>
  </si>
  <si>
    <t>HUAMAN CANO REYNALDO ANTONIO</t>
  </si>
  <si>
    <t>HUARAC GIRALDO JAVIER EUSEBIO</t>
  </si>
  <si>
    <t>ALMACEN DEFARMACIA</t>
  </si>
  <si>
    <t>HURTADO MANCILLA SIXTO</t>
  </si>
  <si>
    <t>JACKELYN MERCEDES AGAPITO DOMINGUEZ</t>
  </si>
  <si>
    <t>JANAMPA LOPEZ RITA ISABEL</t>
  </si>
  <si>
    <t>TRANSPORTES</t>
  </si>
  <si>
    <t>JAUREGUI ALCARRAZ HERIBERTO</t>
  </si>
  <si>
    <t>JESUS LOPEZ NORMA MAGDALENA</t>
  </si>
  <si>
    <t>Servicio de Traumatología</t>
  </si>
  <si>
    <t>JOSE LUIS TORRES RAMOS</t>
  </si>
  <si>
    <t>JUAREZ SILVA CARMEN</t>
  </si>
  <si>
    <t>URGENCIAS</t>
  </si>
  <si>
    <t>JUNCHAYA ROJO JESUS AGUSTIN</t>
  </si>
  <si>
    <t>LEON MENDOZA VANESSA YOLANDA</t>
  </si>
  <si>
    <t>ASISTENTE DENTAL</t>
  </si>
  <si>
    <t>LEYVA HUANCAYA GLADYS MARIA</t>
  </si>
  <si>
    <t>LIZANO GARCIA SARAHAMY</t>
  </si>
  <si>
    <t>LOYOLA AGUIRRE OLGA MARIELA</t>
  </si>
  <si>
    <t>LUDEÑA OBREGON ZADITH MARLENY</t>
  </si>
  <si>
    <t>BIENESTAR FETAL</t>
  </si>
  <si>
    <t>LUQUE CUTIPA SONIA</t>
  </si>
  <si>
    <t>LUQUE ESPIRITU WILMA GUISSELLE</t>
  </si>
  <si>
    <t>TECNICO ADMINISTRATIVO I</t>
  </si>
  <si>
    <t>MADUEÑO VARGAS PATRICIA ANGELA</t>
  </si>
  <si>
    <t>MEDICO AUDITOR</t>
  </si>
  <si>
    <t>MALCA BARRANTES MARIA JOSEFINA</t>
  </si>
  <si>
    <t>Unidad de Farmacia</t>
  </si>
  <si>
    <t>MARIANELA MELENDEZ CHUQUILLANQUE</t>
  </si>
  <si>
    <t>HOSP.PERPUERIO</t>
  </si>
  <si>
    <t>MATA LANDAURO EDDY LAURA</t>
  </si>
  <si>
    <t>MAYURI ESPINO DE VALENCIA MARIA VICTORIA</t>
  </si>
  <si>
    <t>MENDEZ CARDENAS NATHALIE ELIZABETH</t>
  </si>
  <si>
    <t>COMUNICACIONES</t>
  </si>
  <si>
    <t>MORA PINTO ROSA GEORGINA</t>
  </si>
  <si>
    <t>ESPECIALISTA EN COMUNICACIONES</t>
  </si>
  <si>
    <t>MORALES SILVA ISABEL OLGA</t>
  </si>
  <si>
    <t>TECNICO COMPUTACION  INFORMATI</t>
  </si>
  <si>
    <t>MORAN GUERRA FORTUNATA CARMEN</t>
  </si>
  <si>
    <t>MORAN LOA SARITA MAGDALENA</t>
  </si>
  <si>
    <t>TECNICO EN CONTABILIDAD</t>
  </si>
  <si>
    <t>MUÑOZ ZEGARRA MONICA KAREN</t>
  </si>
  <si>
    <t>ASISTENTE EN COMUNIC. SOCIAL</t>
  </si>
  <si>
    <t>Servicio de Pediatría</t>
  </si>
  <si>
    <t>NADIA EVELYN RAMOS BLAS</t>
  </si>
  <si>
    <t>MEDICO PEDIATRA</t>
  </si>
  <si>
    <t>NALVARTE REYNA DE VIVANCO ESTHER UBALDINA</t>
  </si>
  <si>
    <t>NICHO CONTRERAS TRACY JANE VALERIE</t>
  </si>
  <si>
    <t>NIETO TORRES EDELMIRA</t>
  </si>
  <si>
    <t>NIZAMA SALAZAR LUIS MIGUEL</t>
  </si>
  <si>
    <t>OBREGON CHAVEZ HUGO MARCELO</t>
  </si>
  <si>
    <t>CENTRO QUIRURGICO</t>
  </si>
  <si>
    <t>OBREGON DIESTRA BIANCA GERALDINE</t>
  </si>
  <si>
    <t>CONSULTORIOS EXTERNOS</t>
  </si>
  <si>
    <t>OGOÑA ZAPATA ORQUIDEA LIZETH</t>
  </si>
  <si>
    <t>ATENCION PRENATAL</t>
  </si>
  <si>
    <t>OLIVERA DELGADO GLENY ROSARIO</t>
  </si>
  <si>
    <t>DIRECCION</t>
  </si>
  <si>
    <t>ORTIZ LOPEZ GABRIELA MELINA</t>
  </si>
  <si>
    <t>OSORIO JAVIER CARMEN SANTA</t>
  </si>
  <si>
    <t>CENTRAL DE ESTERILIZACION</t>
  </si>
  <si>
    <t>OSORIO PIZARRO JAVIER IVAN</t>
  </si>
  <si>
    <t>PACORA MINAYA LIZ FIORELLA</t>
  </si>
  <si>
    <t>PALERMO PEÑA REBECA</t>
  </si>
  <si>
    <t>PARREÑO VILLANUEVA CRISTINA DEL PILAR</t>
  </si>
  <si>
    <t>PACO FERNADEZ MIGUEL ANGEL</t>
  </si>
  <si>
    <t>DIRECTOR GENERAL</t>
  </si>
  <si>
    <t>PECEROS PERALTA ELIZABETH FLORENTINA</t>
  </si>
  <si>
    <t>PEÑA LLACTACONDOR REYNALDO</t>
  </si>
  <si>
    <t>PEREZ ORMEÑO ALVARO VIRGILIO</t>
  </si>
  <si>
    <t>PORTILLA CRUZADO PAOLA STEFANY</t>
  </si>
  <si>
    <t>QUESQUEN SOTO DORIS ZENOBIA</t>
  </si>
  <si>
    <t>ESTADISTICA</t>
  </si>
  <si>
    <t>QUISPE AULLA ROBERTO DANY</t>
  </si>
  <si>
    <t>QUISPE HUAMANI CLAUDIA ELIZABETH</t>
  </si>
  <si>
    <t>SALA DE OPERACIONES</t>
  </si>
  <si>
    <t>RAMIREZ CARRILLO CARLOS ENRICO</t>
  </si>
  <si>
    <t>RAMIREZ PINTO JACKELINE PILAR</t>
  </si>
  <si>
    <t>RENJIFO GONZALES SUSANA ANGELICA</t>
  </si>
  <si>
    <t>RICO CABREJOS MAGALY DOLORES</t>
  </si>
  <si>
    <t>RIOS ROSARIO MYRIAM ALCIRA</t>
  </si>
  <si>
    <t>RIVERA AGUILAR ROSENDO</t>
  </si>
  <si>
    <t>NEONATOLOGIA</t>
  </si>
  <si>
    <t>ROBLES GUEVARA YOLANDA CRISTINA</t>
  </si>
  <si>
    <t>ROBLES VENTOCILLA DE CARPIO SUSANA MARIA</t>
  </si>
  <si>
    <t>ROCA CANTARO LANDERI ABELIO</t>
  </si>
  <si>
    <t xml:space="preserve">RODRIGUEZ GRANDA FABIOLA SELENE </t>
  </si>
  <si>
    <t>RODRIGUEZ RUIZ ZENAIDA TEREZA</t>
  </si>
  <si>
    <t>INFORMATICA</t>
  </si>
  <si>
    <t>ROJAS DOROTEO RICHARD ISMAEL</t>
  </si>
  <si>
    <t>ADMINISTRADOR DE REDES</t>
  </si>
  <si>
    <t>ROSALES GASPAR GIANNINA KARINA</t>
  </si>
  <si>
    <t>PATRIMONIO</t>
  </si>
  <si>
    <t>RUIZ FLORES ISABEL</t>
  </si>
  <si>
    <t>RUTH ELIZABETH GAMBOA LOPEZ</t>
  </si>
  <si>
    <t>SANGAMA CHUJUTALLI ELVIRA</t>
  </si>
  <si>
    <t>TECNICO EN LABORATORIO CLINICO</t>
  </si>
  <si>
    <t>SANGAMA MONTES MARIELA</t>
  </si>
  <si>
    <t>AUXILIAR EN ESTADISTICA</t>
  </si>
  <si>
    <t>SCARPATI APARCANA MIRIAM BEATRIZ</t>
  </si>
  <si>
    <t>HOSPI-I</t>
  </si>
  <si>
    <t>SIHUE TAMARIZ FELICITA</t>
  </si>
  <si>
    <t>SILVA BRUNO ANGELICA</t>
  </si>
  <si>
    <t>SILVA ROMERO GIOVANI EZEQUIEL</t>
  </si>
  <si>
    <t>ATENCION INMEDIATA</t>
  </si>
  <si>
    <t>SILVA VALLADARES FIORELLA MILAGROS</t>
  </si>
  <si>
    <t>SOCUALAYA SAMARITANO RAUL HENDERSON</t>
  </si>
  <si>
    <t>SOTELO CACERES MARCO AURELIO</t>
  </si>
  <si>
    <t>MEDICO CIRUJANO PLASTICO</t>
  </si>
  <si>
    <t>SUAREZ MENDOZA ROSA MARIBEL</t>
  </si>
  <si>
    <t>HOSPITALIZACION III</t>
  </si>
  <si>
    <t>TARMEÑO AULLA SILMA TERESA</t>
  </si>
  <si>
    <t>TENORIO MORALES GLADYS SOLEDAD</t>
  </si>
  <si>
    <t>TERRONES BECERRA SANDRA</t>
  </si>
  <si>
    <t>TERRONES CRUZADO EDELCINA</t>
  </si>
  <si>
    <t>TECNICA DE ENFERMERIA</t>
  </si>
  <si>
    <t>TIMANA MORALES MARIA DEL PILAR</t>
  </si>
  <si>
    <t>TIMOTEO RUIZ JEAN PIERRE</t>
  </si>
  <si>
    <t>TORRES GAVELAN MARIA DEL CARMEN</t>
  </si>
  <si>
    <t>TORRES QUISPE JENINFER FANNING</t>
  </si>
  <si>
    <t>DIGITADOR(A)</t>
  </si>
  <si>
    <t>TORRES TASAYCO MARISSA</t>
  </si>
  <si>
    <t>UTANI GUTIERREZ ELSA MARUJA</t>
  </si>
  <si>
    <t>VALDEZ YNGA YOLANDA ADRIANA</t>
  </si>
  <si>
    <t>VALERIO MILLA MARIA DEL ROSARIO ISABEL</t>
  </si>
  <si>
    <t>VASQUEZ BAUTISTA AUDINO</t>
  </si>
  <si>
    <t>VASQUEZ BERNUI JULIO CESAR</t>
  </si>
  <si>
    <t>VASQUEZ FLORES MARIA DEL CARMEN</t>
  </si>
  <si>
    <t>VASQUEZ LOBATO MARIBEL ROSARIO</t>
  </si>
  <si>
    <t>VASQUEZ SILVA ROSA EMILIA</t>
  </si>
  <si>
    <t>VEGA MONTTEDORO MIGUEL ANGEL</t>
  </si>
  <si>
    <t>TECNICO ESPECIALIZADO</t>
  </si>
  <si>
    <t>VEGA SANCHEZ JUAN MANUEL</t>
  </si>
  <si>
    <t>VELASQUEZ PARDO DE GONZALES LILIA GLADYS</t>
  </si>
  <si>
    <t>VELASQUEZ PEREZ CECILIA</t>
  </si>
  <si>
    <t>CAJASIS</t>
  </si>
  <si>
    <t>VELASQUEZ TIRADO LILIABETH JESSICA DEL CARMEN</t>
  </si>
  <si>
    <t>VILLANUEVA BALDEON SOFIA MARIANELA</t>
  </si>
  <si>
    <t>VIVAR ARANDA MILAGROS MERCEDES</t>
  </si>
  <si>
    <t>WILSON GUERRA LIZ JULISSA</t>
  </si>
  <si>
    <t>HOSP. II -GINECO</t>
  </si>
  <si>
    <t>ZELAYA ALARCON BRISA MARINA</t>
  </si>
  <si>
    <t>ZEÑA DE GARCIA HILDA</t>
  </si>
  <si>
    <t>ZETA MORALES GEYBI AURORA</t>
  </si>
  <si>
    <t>ZIANI BAILETTI YOLANDA ALEJANDRINA</t>
  </si>
  <si>
    <t>ROPERIA</t>
  </si>
  <si>
    <t>ZULEN DE BARRIOS DELFINA YRENE ESTHER</t>
  </si>
  <si>
    <t xml:space="preserve">AGUILAR PEÑA JULY ANN </t>
  </si>
  <si>
    <t>ORIENTADOR</t>
  </si>
  <si>
    <t>ALMACEN</t>
  </si>
  <si>
    <t>AGUIRRE SANCHEZ CRHISTOFFER JACK ULISES</t>
  </si>
  <si>
    <t>ALBINO MATA ERICK JOEL</t>
  </si>
  <si>
    <t>ALZAMORA CABADA LIBNI</t>
  </si>
  <si>
    <t>DIGITADOR</t>
  </si>
  <si>
    <t xml:space="preserve">AQUISE QUISPE ROSANGELA </t>
  </si>
  <si>
    <t>ARCE MONTANO VERONICA RAQUEL</t>
  </si>
  <si>
    <t>ARELLANO GUILLEN, NELLY</t>
  </si>
  <si>
    <t>DIAGNOSTICO POR IMÁGENES</t>
  </si>
  <si>
    <t xml:space="preserve">AREVALO CABEZAS ERICKSON PATRICK </t>
  </si>
  <si>
    <t>ADMNISTRACION</t>
  </si>
  <si>
    <t xml:space="preserve">ARTEAGA VILCHEZ YOVANY </t>
  </si>
  <si>
    <t>NUTRICION</t>
  </si>
  <si>
    <t>AYALA CASTRO KEVIN JHONATHAN</t>
  </si>
  <si>
    <t>AUXILIAR NUTRICION</t>
  </si>
  <si>
    <t>AYRES FERNANDEZ ZAMANTHA YUBBISSA</t>
  </si>
  <si>
    <t>ASESORIA JURIDICA</t>
  </si>
  <si>
    <t>BAILON ARIAS, ALBERTO</t>
  </si>
  <si>
    <t>ABOGADO(A)</t>
  </si>
  <si>
    <t>BARRETO PORRAS, MANUEL ENRIQUE</t>
  </si>
  <si>
    <t>SERVICIOS GENERALES</t>
  </si>
  <si>
    <t>BEDON SILVA ELI</t>
  </si>
  <si>
    <t>BEDON SILVA INGRI SEFORA</t>
  </si>
  <si>
    <t>BOJORQUEZ BRAVO MINOZKA MASSIEL</t>
  </si>
  <si>
    <t>MEDICOS</t>
  </si>
  <si>
    <t>HOSP GINECO-OBSTETRICIA</t>
  </si>
  <si>
    <t>BONILLA GAVILAN KAREN VICTORIA</t>
  </si>
  <si>
    <t>HOSP CIRUGIA</t>
  </si>
  <si>
    <t>BRINGAS PEÑA, MARGARITA</t>
  </si>
  <si>
    <t>BRONCANO TREJO GROWER DANTE</t>
  </si>
  <si>
    <t>CABRERA SANCHEZ, DORIS</t>
  </si>
  <si>
    <t>PSICOLOGIA</t>
  </si>
  <si>
    <t>CACERES NEYRA XIMENA OLENKA</t>
  </si>
  <si>
    <t>CAMARENA TORRES LIZ GISELA</t>
  </si>
  <si>
    <t xml:space="preserve">CASTRO MONTERO CRUZ JULIANA </t>
  </si>
  <si>
    <t>CELIS MORENO, LUCY ESCARLETH</t>
  </si>
  <si>
    <t>CHALCO CONDEMAYTA YOVANA</t>
  </si>
  <si>
    <t>CHERO DIAZ MARIA ESTHER</t>
  </si>
  <si>
    <t xml:space="preserve">CHICLAYO RAMIREZ WENDY </t>
  </si>
  <si>
    <t>CHIRINOS ALZAMORA JUANA ISABEL</t>
  </si>
  <si>
    <t xml:space="preserve">CORDOVA REYES MANUEL DANIEL </t>
  </si>
  <si>
    <t>DAVILA RIVERA CESAR ERICK</t>
  </si>
  <si>
    <t>SISTEMAS E INFORMACIONES</t>
  </si>
  <si>
    <t>DIAZ PEREZ JHANINA BENIZZI</t>
  </si>
  <si>
    <t xml:space="preserve">ELESCANO CHAMBILLO SARA TERESA </t>
  </si>
  <si>
    <t>ESPINOZA BACA GILMER RONY</t>
  </si>
  <si>
    <t>ESPINOZA ESPINOZA, HEIDI FLOR</t>
  </si>
  <si>
    <t>FIMBRES ORTEGA LUIS JAVIER</t>
  </si>
  <si>
    <t>FLORES CABALLERO, LUIS ALBERTO</t>
  </si>
  <si>
    <t>FRANCO NAVARRO, RAFAEL</t>
  </si>
  <si>
    <t>GARCIA SILVA FERNANDO</t>
  </si>
  <si>
    <t>GUTIERREZ CHAVEZ ANA MELVA</t>
  </si>
  <si>
    <t>CAJADEMANDA</t>
  </si>
  <si>
    <t>HERRADA FALCON SONIA ELISA</t>
  </si>
  <si>
    <t>HERRERA JIMENO KARIN</t>
  </si>
  <si>
    <t>HERRERA MEZA CYNTHIA CONSUELO</t>
  </si>
  <si>
    <t>HILARIO ARIAS, MARIA ELENA</t>
  </si>
  <si>
    <t xml:space="preserve">HUAMAN ADANAQUE MARIA ULDA </t>
  </si>
  <si>
    <t xml:space="preserve">HUAMAN ADANAQUE MICAELA </t>
  </si>
  <si>
    <t>HUAMAN TOCAS, ARMILDO SILVIO</t>
  </si>
  <si>
    <t>HUAMANI SANCHEZ ZAIDA HERMINIA</t>
  </si>
  <si>
    <t>INGA VILCA MARLITH RUTH</t>
  </si>
  <si>
    <t>ISUIZA MORE JOSE MARTIN</t>
  </si>
  <si>
    <t>GINECOLOGIA</t>
  </si>
  <si>
    <t>JARA ANDAVIZA JOSE ALONSO</t>
  </si>
  <si>
    <t>GINECO-OBSTETRICIA</t>
  </si>
  <si>
    <t>JURADO MASSCO JULIETA ROCIO</t>
  </si>
  <si>
    <t>JUSCAMAITA RICO ELVIS HAROL</t>
  </si>
  <si>
    <t>LA CHIRA CHAPILLIQUEN JUAN CARLOS</t>
  </si>
  <si>
    <t>LAU SANTOS ELIZABETH</t>
  </si>
  <si>
    <t>LEYVA ZAMBRANO LESLY JEMINA</t>
  </si>
  <si>
    <t>LLANOS DE LA CRUZ HERMENCINDA</t>
  </si>
  <si>
    <t>GASTROENTEROLOGIA</t>
  </si>
  <si>
    <t>MALPARTIDA AYALA NOEMI FLORINDA</t>
  </si>
  <si>
    <t xml:space="preserve">MARCELO SALINAS EDITH VICTORIA </t>
  </si>
  <si>
    <t xml:space="preserve">MATEOS PADILLA INGRID ROCIO </t>
  </si>
  <si>
    <t xml:space="preserve">MAZA RUIZ MERCY ISABEL </t>
  </si>
  <si>
    <t>MEDINA BUSHUAR RONALD WILMER</t>
  </si>
  <si>
    <t xml:space="preserve">MENDOZA CUEVA YAKILIN MILY </t>
  </si>
  <si>
    <t>MERINO CASTILLO, MARIBEL</t>
  </si>
  <si>
    <t>MONTAÑO PISFIL MIRIIAN</t>
  </si>
  <si>
    <t>MONTERO CISNEROS NORMA</t>
  </si>
  <si>
    <t>MORALES QUISPE CRISTHEL GERALDIN</t>
  </si>
  <si>
    <t xml:space="preserve">MORAN RUTTI GRECIA STEPHANIA </t>
  </si>
  <si>
    <t>MUÑOZ COTRINA GHERALDI ESTELITA</t>
  </si>
  <si>
    <t>NAVARRO HUARINGA ANELA HIZELDA</t>
  </si>
  <si>
    <t xml:space="preserve">OCHOA ALARCON ANA MARIA DEL PILAR </t>
  </si>
  <si>
    <t>PAICO RUIZ MARCOS JOSE</t>
  </si>
  <si>
    <t>ECONOMIA</t>
  </si>
  <si>
    <t>PALACIOS MOGOLLON, YUNIOR JOHAN</t>
  </si>
  <si>
    <t>CONTADOR PUBLICO</t>
  </si>
  <si>
    <t>PAREDES SALDIVAR, SALY</t>
  </si>
  <si>
    <t>PARRAGA CHUQILLANQUI CARLOS MELITON</t>
  </si>
  <si>
    <t>PILOTO DE AMBULANCIA</t>
  </si>
  <si>
    <t>PUICON GUERRERO, KELLY DEL CARMEN</t>
  </si>
  <si>
    <t>TRABAJADORA SOCIAL</t>
  </si>
  <si>
    <t>HOSP I PEDIA</t>
  </si>
  <si>
    <t>QUISPE ESLACHIN KATTY REYNA</t>
  </si>
  <si>
    <t>PEDIATRIA</t>
  </si>
  <si>
    <t>RAMIREZ FERNANDEZ DANILO OCTAVIO</t>
  </si>
  <si>
    <t>RAMIREZ QUIÑONES MARIA ISABEL</t>
  </si>
  <si>
    <t>RAMIREZ ROJAS PAUL EDUARDO</t>
  </si>
  <si>
    <t>RAMOS DE ROSAS ODAR, ERIKA ELIZABETH</t>
  </si>
  <si>
    <t>RETAMOZO JAIMES, GIANCARLO ROBERTO</t>
  </si>
  <si>
    <t>REYES YAJAHUANCA MILAGROS</t>
  </si>
  <si>
    <t>MEDICINA</t>
  </si>
  <si>
    <t>RIOS SAAVEDRA, EDWARD RICARDO</t>
  </si>
  <si>
    <t>ROBLES GAMARRA, KARINA VERONICA</t>
  </si>
  <si>
    <t>RODRIGUEZ COBEÑAS DELIA NAYARITH HASBLEIDY</t>
  </si>
  <si>
    <t xml:space="preserve">ROJAS CONTRERAS SILVARA OLINDA </t>
  </si>
  <si>
    <t>ROMAN BAUTISTA ERICKA</t>
  </si>
  <si>
    <t>ROMERO MONTENEGRO JAIME ARTURO</t>
  </si>
  <si>
    <t>SANCHEZ CALDERON MAVILA ROSA</t>
  </si>
  <si>
    <t>SANCHEZ ORELLANA, MANUEL DENIS RENATO</t>
  </si>
  <si>
    <t>SEGURA CHAVEZ, SEYNER BENICIO</t>
  </si>
  <si>
    <t>SEMINARIO SIFUENTES, CLAUDIA ROSA</t>
  </si>
  <si>
    <t>SILVA ALIAGA MAGALY ARELI</t>
  </si>
  <si>
    <t>SILVA RODRIGUEZ CLAUDIA MELISSA</t>
  </si>
  <si>
    <t>SOLIS VENTURA ANDREMINA ROXANA</t>
  </si>
  <si>
    <t>SOTO SALAZAR, ANDY MICHAEL</t>
  </si>
  <si>
    <t>ESPECIALISTA EN INFORMATICA</t>
  </si>
  <si>
    <t>TACILLA CARDENAS INGRID</t>
  </si>
  <si>
    <t>TORRES MARREROS JAKELINE KARINA</t>
  </si>
  <si>
    <t>TORRES VALDEZ, PIERINA LIZBETH</t>
  </si>
  <si>
    <t>VALDEZ ALEGRIA, ENRIQUE FEDDY</t>
  </si>
  <si>
    <t>VARGAS HUAYHUA CRISTHIAN ALFREDO</t>
  </si>
  <si>
    <t>VEGA CASTILLO YESSICA ELIZABETH</t>
  </si>
  <si>
    <t>VENTURA PLAZA LUIS CESAR</t>
  </si>
  <si>
    <t>VERA BAUTISTA THALIA LISBETH</t>
  </si>
  <si>
    <t>VILLALON GARCIA ROCIO DEL PILAR</t>
  </si>
  <si>
    <t xml:space="preserve">VILLEGAS ARANA SILVIA OREANA </t>
  </si>
  <si>
    <t>YANCUL CEPEDA SANDRA GIOVANA</t>
  </si>
  <si>
    <t>YERREN ACOSTA, JOSE LUIS</t>
  </si>
  <si>
    <t>ZELADA GARCIA, GREGORIO</t>
  </si>
  <si>
    <t>ASENJO VILLANUEVA ALEXANDER</t>
  </si>
  <si>
    <t>AYALA TECCSI, LUZ ELIANA</t>
  </si>
  <si>
    <t>BENITES GALINDOS, KENNYDI JHONATAN</t>
  </si>
  <si>
    <t>CALLA GONZALES EDWIN</t>
  </si>
  <si>
    <t xml:space="preserve">CANTU MENDEZ ROOSVELTH WILBER </t>
  </si>
  <si>
    <t>CARRANZA CAMINO KAREN PAOLA</t>
  </si>
  <si>
    <t>CASTAÑEDA ROBLES, PAOLA IVVET</t>
  </si>
  <si>
    <t>CHAUCA MONTAÑO ANITA JULIA</t>
  </si>
  <si>
    <t>ANESTESIOLOGIA</t>
  </si>
  <si>
    <t>CHAVEZ CERVANTES KARLA KATHERINE</t>
  </si>
  <si>
    <t>COLLANTES ZEGARRA JOHANA</t>
  </si>
  <si>
    <t>CONDOR ESTRELLA BONNEY HARLEY</t>
  </si>
  <si>
    <t>CUBAS LEON ALEXANDER</t>
  </si>
  <si>
    <t>OCI</t>
  </si>
  <si>
    <t>DOMINGUEZ ROCA, OSCAR SEGUNDO</t>
  </si>
  <si>
    <t>AUDITOR SUPERVISOR</t>
  </si>
  <si>
    <t>FIESTAS SANCHEZ MARJUREI LIZETH</t>
  </si>
  <si>
    <t>GARCIA ORMEÑO, CARMEN DEL ROSARIO</t>
  </si>
  <si>
    <t>AUDITOR(A)</t>
  </si>
  <si>
    <t>HUARACA PONCE MARILUZ</t>
  </si>
  <si>
    <t>LEVANO MARQUEZ LORENA FABIOLA</t>
  </si>
  <si>
    <t>LOZANO IBAÑEZ ANA KATHERINE</t>
  </si>
  <si>
    <t>MAITA ARRIETA CLAUDIA SOLANGE</t>
  </si>
  <si>
    <t>OFTALMOLOGIA</t>
  </si>
  <si>
    <t>MAITA TRUJILLO JOSEPH JOHNNY</t>
  </si>
  <si>
    <t>MAMANI HUAMAN, ROSA LUZ</t>
  </si>
  <si>
    <t>TERAPIA FISICA</t>
  </si>
  <si>
    <t xml:space="preserve">MORAN RAFAEL DIANA ALVINA </t>
  </si>
  <si>
    <t>TECNOLOGO MEDICO EN TERAPIA FISICA</t>
  </si>
  <si>
    <t>PARDO TOMASTO DEBORA LYSBETH</t>
  </si>
  <si>
    <t>PARI MAMANI HENRY</t>
  </si>
  <si>
    <t>PEÑALOZA ROSALES, SENDA LIANA</t>
  </si>
  <si>
    <t>CENTRO OBSTETRICO</t>
  </si>
  <si>
    <t>PERALTA CORDERO JESUS ALBERTO</t>
  </si>
  <si>
    <t>RAC</t>
  </si>
  <si>
    <t>PINTO SAAVEDRA WILLIAM ANGEL</t>
  </si>
  <si>
    <t>HOSP PUERPERIO</t>
  </si>
  <si>
    <t>PONCE NIEVES CINTHYA LIZETT</t>
  </si>
  <si>
    <t>QUISPE ROBLES, KAREN LIZETH</t>
  </si>
  <si>
    <t>QUISPE VELARDE SILVIA</t>
  </si>
  <si>
    <t>REYES TINEO THALIA DEL PILAR</t>
  </si>
  <si>
    <t>OTORRINOLARINGOGIA</t>
  </si>
  <si>
    <t>RICAPA DIONICIO LILIAN CECILIA</t>
  </si>
  <si>
    <t>ROMERO RIVERA YENI SARITA</t>
  </si>
  <si>
    <t>RUIZ PAREDES SANDRA LUZ</t>
  </si>
  <si>
    <t>SALINAS AVILA, SHEYLA KETY</t>
  </si>
  <si>
    <t>SAMAME RAMIREZ, PEDRO MIGUEL</t>
  </si>
  <si>
    <t>SANTIAGO QUIÑONES, GLADIS MARITZA</t>
  </si>
  <si>
    <t>SEMINARIO QUEVEDO MERCI MARGOT</t>
  </si>
  <si>
    <t>SUCASACA RUELAS CARLOS ALBERTO</t>
  </si>
  <si>
    <t>SUMERINDE AYALA VANESSA</t>
  </si>
  <si>
    <t>TARAZONA MIRANDA MAURA BIVIANA</t>
  </si>
  <si>
    <t>TAZA LA TORRE, BRYAN JOSE</t>
  </si>
  <si>
    <t>TINOCO YOBERA YULI</t>
  </si>
  <si>
    <t>TRAUMATOLOGIA</t>
  </si>
  <si>
    <t>VASQUEZ COACALLA, LUIS AGUSTIN</t>
  </si>
  <si>
    <t>VERDE CASTRO, LIZBETH NILDA</t>
  </si>
  <si>
    <t>ZARATE CUBAS SANDRA KARINA</t>
  </si>
  <si>
    <t>COVID-19</t>
  </si>
  <si>
    <t>ALVA ORTIZ, BISALINA ROMY</t>
  </si>
  <si>
    <t>TECNICA EN ENFERMERIA</t>
  </si>
  <si>
    <t>ARRIAGA RODRIGUEZ, PERCY</t>
  </si>
  <si>
    <t>MEDICO ESPECIALISTA</t>
  </si>
  <si>
    <t>BELLIDO ARROYO YARUSHKA</t>
  </si>
  <si>
    <t>AUXILIAR ASISTENCIAL</t>
  </si>
  <si>
    <t>CANCHARI SAAVEDRA, FANNY DEL PILAR</t>
  </si>
  <si>
    <t>CHUMBIRAY BALCAZAR, LILI DIANA</t>
  </si>
  <si>
    <t>CONDE LEONES ELIZABETH DEL CARMEN</t>
  </si>
  <si>
    <t>ESPINOZA SOLEDAD, JESSICA LIZET</t>
  </si>
  <si>
    <t>LICENCIADA EN ENFERMERIA</t>
  </si>
  <si>
    <t>EUSCATEGUI ROQUE, DORIS</t>
  </si>
  <si>
    <t>FLORES CHOQUE, BERTA</t>
  </si>
  <si>
    <t>GONZALES PONCE, MACK LESTER</t>
  </si>
  <si>
    <t>GRANDEZ FLORES, DIANA</t>
  </si>
  <si>
    <t>GUZMAN GONZALES, PATRICIA LISSET</t>
  </si>
  <si>
    <t>HERRERA VARGAS JENNY PAOLA</t>
  </si>
  <si>
    <t>LEON CORNEJO, CHELSY ANN MARLENE</t>
  </si>
  <si>
    <t>LOAYZA PIZARRO RAFAEL ANIBAL</t>
  </si>
  <si>
    <t>MAQUIN CHUQUIRUNA, WENDY MAYUMI</t>
  </si>
  <si>
    <t>MARQUEZ YANQUI, TANIA VANESSA</t>
  </si>
  <si>
    <t>MATOS POMA, MELINA</t>
  </si>
  <si>
    <t>MECHAN ALVAREZ DANTE</t>
  </si>
  <si>
    <t xml:space="preserve">NAJARRO BORJA, MILAGRO </t>
  </si>
  <si>
    <t>ORDOÑEZ CHINGUEL, AUGUSTO MAGNO</t>
  </si>
  <si>
    <t>PAREDES FLORES JORGE</t>
  </si>
  <si>
    <t>PARRAGA ROSALES, GIULIANA MARIBEL</t>
  </si>
  <si>
    <t>RAMOS BARCENA, MAYRA STEFANNY</t>
  </si>
  <si>
    <t>RIVERA NAVARRO EVELYN DEL ROSARIO</t>
  </si>
  <si>
    <t>RODRIGUEZ COQUIS, SARAH THALIA</t>
  </si>
  <si>
    <t>ROQUE VICENTE, ESTELITA</t>
  </si>
  <si>
    <t>SAAVEDRA JIMENEZ, KAREN GIOVANNA</t>
  </si>
  <si>
    <t>SOLLER LOPEZ, JORGE</t>
  </si>
  <si>
    <t>TICONA ACERO, ELIZABETH</t>
  </si>
  <si>
    <t>VASQUEZ GAMARRA, CHEMA RAQUEL</t>
  </si>
  <si>
    <t>VILCA MALDONADO, KELITA</t>
  </si>
  <si>
    <t>VILLAFUERTE MOGOLLON, LOURDES EDITH</t>
  </si>
  <si>
    <t>VILLANUEVA FERNANDEZ, MARLET</t>
  </si>
  <si>
    <t>ZEGARRA CEPEDA JOSÉ MIGUEL</t>
  </si>
  <si>
    <t>HURTADO CARRASCO,MARIA</t>
  </si>
  <si>
    <t>NO</t>
  </si>
  <si>
    <t>1 AÑO</t>
  </si>
  <si>
    <t>MENSUAL - QUINCENA</t>
  </si>
  <si>
    <t>UE 403 HOSPITAL DE VENTANILLA</t>
  </si>
  <si>
    <t>UNIDAD EJECUTORA:  401 - HOSPITAL NACIONAL "DANIEL A. CARRION"</t>
  </si>
  <si>
    <t>ESCALAFONADOS</t>
  </si>
  <si>
    <t>NRR1</t>
  </si>
  <si>
    <t>NRR2</t>
  </si>
  <si>
    <t>09</t>
  </si>
  <si>
    <t>05</t>
  </si>
  <si>
    <t>04</t>
  </si>
  <si>
    <t>03</t>
  </si>
  <si>
    <t>N1</t>
  </si>
  <si>
    <t>N2</t>
  </si>
  <si>
    <t>N3</t>
  </si>
  <si>
    <t>N4</t>
  </si>
  <si>
    <t>N5</t>
  </si>
  <si>
    <t>ENFERMERA</t>
  </si>
  <si>
    <t>10</t>
  </si>
  <si>
    <t>11</t>
  </si>
  <si>
    <t>12</t>
  </si>
  <si>
    <t>13</t>
  </si>
  <si>
    <t>14</t>
  </si>
  <si>
    <t>OTROS PROF.DE LA SALUD</t>
  </si>
  <si>
    <t xml:space="preserve">FORMATO 10: INFORMACIÓN DE REMUNERACIONES Y NÚMERO DE PLAZAS </t>
  </si>
  <si>
    <t>TOTAL INGRESO ANUAL PEA (Proyección al 31 de diciembre de  2020)</t>
  </si>
  <si>
    <t>PROFESIONAL SPA</t>
  </si>
  <si>
    <t>PROFESIONAL SPB</t>
  </si>
  <si>
    <t>PROFESIONAL SPC</t>
  </si>
  <si>
    <t>PROFESIONAL SPD</t>
  </si>
  <si>
    <t>PROFESIONAL SPE</t>
  </si>
  <si>
    <t>PROFESIONAL SPF</t>
  </si>
  <si>
    <t>TECNICO STA</t>
  </si>
  <si>
    <t>TECNICO STB</t>
  </si>
  <si>
    <t>TECNICO STC</t>
  </si>
  <si>
    <t>TECNICO STD</t>
  </si>
  <si>
    <t>TECNICO STE</t>
  </si>
  <si>
    <t>TECNICO STF</t>
  </si>
  <si>
    <t>AUXILIAR SAA</t>
  </si>
  <si>
    <t>AUXILIAR SAB</t>
  </si>
  <si>
    <t>AUXILIAR SAC</t>
  </si>
  <si>
    <t>AUXILIAR SAD</t>
  </si>
  <si>
    <t>AUXILIAR SAE</t>
  </si>
  <si>
    <t>AUXILIAR SAF</t>
  </si>
  <si>
    <t>TOTAL:</t>
  </si>
  <si>
    <t>1 - ADQUISICION DE PETROLEO BIO DIESEL (B5 - S50)</t>
  </si>
  <si>
    <t>S.I.E.</t>
  </si>
  <si>
    <t>PROCEDIMIENTO CLASICO</t>
  </si>
  <si>
    <t>003-2019-HNDAC</t>
  </si>
  <si>
    <t>20473935407 -
ESTACION DE SERVICIOS LOS OLIVOS S.A.C.</t>
  </si>
  <si>
    <t>12° ENTREGAS</t>
  </si>
  <si>
    <t xml:space="preserve">2 - ADQUISICION DE TOMOGRAFO MULTICORTE </t>
  </si>
  <si>
    <t xml:space="preserve">L.P. </t>
  </si>
  <si>
    <t>007-2019-HNDAC</t>
  </si>
  <si>
    <t>20548739641 - 
GE HEALTHCARE DEL PERU S.A.C.</t>
  </si>
  <si>
    <t>SETIEMBRE 2020</t>
  </si>
  <si>
    <t>3 - SERVICIO DE HEMODIALISIS SIN REUSO PARA PACIENTES DEL HNDAC</t>
  </si>
  <si>
    <t>C.P.</t>
  </si>
  <si>
    <t>20543662217 - 
IGSA MEDICAL SERVICES PERU S.A.C.</t>
  </si>
  <si>
    <t>12° SERVICIOS</t>
  </si>
  <si>
    <t>4 - ADQUISICION DE INSTRUMENTAL PARA EL SERVICIO 
DE OTORRINOLARINGOCOLOGIA</t>
  </si>
  <si>
    <t>A.S.</t>
  </si>
  <si>
    <t>015-2019-HNDAC</t>
  </si>
  <si>
    <t>20545804795 - 
GOLDEN MEDICALTECH S.A.C</t>
  </si>
  <si>
    <t>CULMINADO</t>
  </si>
  <si>
    <t>JUNIO DEL 2020</t>
  </si>
  <si>
    <t>5 - ADQUISICION DE CATETER DE HEMODIALISIS</t>
  </si>
  <si>
    <t>013-2019-HNDAC</t>
  </si>
  <si>
    <t>20502853750 - 
COVIDIEN PERU S.A.</t>
  </si>
  <si>
    <t xml:space="preserve">6 - ADQUISICION DE 02 MONITORES MULTIPARAMETRO </t>
  </si>
  <si>
    <t>COMPRE</t>
  </si>
  <si>
    <t>001-2020-HNDAC</t>
  </si>
  <si>
    <t>20555574208 - 
P &amp; R BUSINESS CORPORATION S.A.C.</t>
  </si>
  <si>
    <t>ABRIL DEL 2020</t>
  </si>
  <si>
    <t>UE: 401 HOSPITAL DANIEL A. CARRION</t>
  </si>
  <si>
    <t>876038</t>
  </si>
  <si>
    <t>2009</t>
  </si>
  <si>
    <t>TR 0 - RDR</t>
  </si>
  <si>
    <t>TR 7 - RDR</t>
  </si>
  <si>
    <t>DIR. NACIONAL DEL TESORO PUBLICO</t>
  </si>
  <si>
    <t>09R7TR</t>
  </si>
  <si>
    <t>2013</t>
  </si>
  <si>
    <t>FONDO ROTATORIO</t>
  </si>
  <si>
    <t>876410</t>
  </si>
  <si>
    <t>2008</t>
  </si>
  <si>
    <t>DETRACCIONES DE LEY</t>
  </si>
  <si>
    <t>756652</t>
  </si>
  <si>
    <t xml:space="preserve">FONDOS DE INVESTIGACION CADIC </t>
  </si>
  <si>
    <t>68-305497</t>
  </si>
  <si>
    <t>2012</t>
  </si>
  <si>
    <t>TR 18 - SUB CUENTA - DU. 051-2020-MEDIDAS EXTRAORDINARIAS Y TEMPORALES - COVID -19-ROOC</t>
  </si>
  <si>
    <t>TR F - SUB CUENTA - ENDEUDAMIENTO- BONOS</t>
  </si>
  <si>
    <t>19RFTR</t>
  </si>
  <si>
    <t>TR 18 DONACIONES Y TRANSFERENCIAS</t>
  </si>
  <si>
    <t>13R18TR</t>
  </si>
  <si>
    <t>2017</t>
  </si>
  <si>
    <t>TR 0 DONACIONES Y TRANSFERENCIAS</t>
  </si>
  <si>
    <t>876402</t>
  </si>
  <si>
    <t>CONSTRUYENDO PERU</t>
  </si>
  <si>
    <t>TRANSFERENCIA NACIONAL REGIONAL CALLAO</t>
  </si>
  <si>
    <t>TR 19  - SUBCUENTA - PARTICIPACIONES FED</t>
  </si>
  <si>
    <t>18R19TR</t>
  </si>
  <si>
    <t>2010</t>
  </si>
  <si>
    <t>TR Q - SUBCUENTA - RENTA DE ADUANAS</t>
  </si>
  <si>
    <t>18RQTR</t>
  </si>
  <si>
    <t>TR Ñ - SUB CUENTA FIDEICOMISO REGIONAL</t>
  </si>
  <si>
    <t>18RÑTR</t>
  </si>
  <si>
    <t>RUBRO 88  NO PRESUPUESTAL</t>
  </si>
  <si>
    <t>RETENCIONES DE LEY 28015</t>
  </si>
  <si>
    <t>68-170990</t>
  </si>
  <si>
    <t>401-HOSPITAL NACIONAL DANIEL A. CARRION</t>
  </si>
  <si>
    <t>44535761</t>
  </si>
  <si>
    <t>ADVINCULA TERAN NATALY LIZ</t>
  </si>
  <si>
    <t>-----------</t>
  </si>
  <si>
    <t>43424412</t>
  </si>
  <si>
    <t>AGÜERO QUISPE LADDY MILAGROS</t>
  </si>
  <si>
    <t>25781806</t>
  </si>
  <si>
    <t>AGUILAR JOHNSON WILLIAMS JESUS</t>
  </si>
  <si>
    <t>45351110</t>
  </si>
  <si>
    <t>AGUILAR MELGAR JOEL ARTURO</t>
  </si>
  <si>
    <t>41561589</t>
  </si>
  <si>
    <t>AGUIRRE CARBAJO REMY ELMER</t>
  </si>
  <si>
    <t>46713541</t>
  </si>
  <si>
    <t>AGUIRRE OBREGON HELEN STEFANI</t>
  </si>
  <si>
    <t>41454772</t>
  </si>
  <si>
    <t>AGUIRRE PILLACA SULMIT DIONICIA</t>
  </si>
  <si>
    <t>10675025</t>
  </si>
  <si>
    <t>ALARCON CHASQUIBOL BASIEL ALEXANDER</t>
  </si>
  <si>
    <t>43550139</t>
  </si>
  <si>
    <t>ALBAN TALANCHA RENATO FRANCO</t>
  </si>
  <si>
    <t>75414297</t>
  </si>
  <si>
    <t>ALCANTARA DE LA CRUZ MARLY</t>
  </si>
  <si>
    <t>46315626</t>
  </si>
  <si>
    <t>ALCANTARA JUAREZ MARIA FIORELA</t>
  </si>
  <si>
    <t>41509204</t>
  </si>
  <si>
    <t>ALEGRE ZAMBRANO PETER JOHN</t>
  </si>
  <si>
    <t>42217990</t>
  </si>
  <si>
    <t>ALLEMANT ORTIZ LUIS JESUS</t>
  </si>
  <si>
    <t>TECNICO EN SERVICIO SOCIAL</t>
  </si>
  <si>
    <t>25650216</t>
  </si>
  <si>
    <t>ALMENARA BARRETO MYRIAM ADRIANA</t>
  </si>
  <si>
    <t>42823258</t>
  </si>
  <si>
    <t>ALVA CABRERA ANA DENISSE</t>
  </si>
  <si>
    <t>42611921</t>
  </si>
  <si>
    <t>ALVA DIAZ CARLOS ALEXANDER</t>
  </si>
  <si>
    <t>45783731</t>
  </si>
  <si>
    <t>ALVARADO VARGAS MARGARITA ELIZABETH</t>
  </si>
  <si>
    <t>75564186</t>
  </si>
  <si>
    <t>ALVAREZ VALLE ESTHEFANY OLENKA</t>
  </si>
  <si>
    <t>25718674</t>
  </si>
  <si>
    <t>ANGULO ABANTO DORIS GUADALUPE</t>
  </si>
  <si>
    <t>43491876</t>
  </si>
  <si>
    <t>ANIBAL LENES HEIDI SADITH</t>
  </si>
  <si>
    <t>42756816</t>
  </si>
  <si>
    <t>AQUISE NAJARRO VERALUCIA</t>
  </si>
  <si>
    <t>09330304</t>
  </si>
  <si>
    <t>ARANDA CASTILLO MAGALLY ARIETTA</t>
  </si>
  <si>
    <t>46177382</t>
  </si>
  <si>
    <t>ARAUJO ESPINOZA GUILLERMO ERNESTO</t>
  </si>
  <si>
    <t>06001782</t>
  </si>
  <si>
    <t>ARBILDO VALLES NANCY</t>
  </si>
  <si>
    <t>46122282</t>
  </si>
  <si>
    <t>ARIAS CHUMPITAZ JUAN EDUARDO</t>
  </si>
  <si>
    <t>43623262</t>
  </si>
  <si>
    <t>ARIZA BRAVO RUSBEL</t>
  </si>
  <si>
    <t>25708156</t>
  </si>
  <si>
    <t>ARONES HERNANDEZ JULY CARMEN</t>
  </si>
  <si>
    <t>25845488</t>
  </si>
  <si>
    <t>ARROYO PRIETO DEBORA PAOLA</t>
  </si>
  <si>
    <t>43300681</t>
  </si>
  <si>
    <t>ARTEAGA RODRIGUEZ JESSICA ESTHER</t>
  </si>
  <si>
    <t>44592047</t>
  </si>
  <si>
    <t>ARTEAGA VASQUEZ MIRIAM MARIOLY</t>
  </si>
  <si>
    <t>TECNICO EN SEGURIDAD</t>
  </si>
  <si>
    <t>41186659</t>
  </si>
  <si>
    <t>ASCENCIO CASTRO JAIME JOEL</t>
  </si>
  <si>
    <t>10723533</t>
  </si>
  <si>
    <t>ASPILCUETA ONOFRE ERASMO CALIXTO</t>
  </si>
  <si>
    <t>43376260</t>
  </si>
  <si>
    <t>ASTOCONDOR SALAZAR LILIAN MARITA</t>
  </si>
  <si>
    <t>45660329</t>
  </si>
  <si>
    <t>AYALA SEGOVIA ADRIANA LOURDES</t>
  </si>
  <si>
    <t>40577933</t>
  </si>
  <si>
    <t>AYARZA PORTELO WILLIAM</t>
  </si>
  <si>
    <t>25790030</t>
  </si>
  <si>
    <t>BALCAZAR MONTAÑEZ OLINDA MILAGROS</t>
  </si>
  <si>
    <t>70447254</t>
  </si>
  <si>
    <t>BALCAZAR REYES ALFREDO DOMINGO</t>
  </si>
  <si>
    <t>40683348</t>
  </si>
  <si>
    <t>BALLENA NAVARRO MARGOT LIZETI</t>
  </si>
  <si>
    <t>46425765</t>
  </si>
  <si>
    <t>BARBA CASTILLO ANGGIE</t>
  </si>
  <si>
    <t>08140953</t>
  </si>
  <si>
    <t>BARDALES VALLADARES JESSICA DALILA</t>
  </si>
  <si>
    <t>45044968</t>
  </si>
  <si>
    <t>BARDALES ZUTA LUCIA MABEL</t>
  </si>
  <si>
    <t>76042515</t>
  </si>
  <si>
    <t>BARRETO NAPAN JHONATAN CARLOS</t>
  </si>
  <si>
    <t>40974401</t>
  </si>
  <si>
    <t>BARRIENTOS SANCHEZ SANDY ZULMA</t>
  </si>
  <si>
    <t>71323567</t>
  </si>
  <si>
    <t>BAUTISTA PARIONA CHRISTIAN RUBEN</t>
  </si>
  <si>
    <t>44149249</t>
  </si>
  <si>
    <t>BECERRA ALARCON ENRIQUE ROY</t>
  </si>
  <si>
    <t>45492916</t>
  </si>
  <si>
    <t>BEDON ZACARIAS CINDY LIZBETH</t>
  </si>
  <si>
    <t>42399366</t>
  </si>
  <si>
    <t>BENDEZU JIMENEZ JHONATAN ROBERTO</t>
  </si>
  <si>
    <t>32728562</t>
  </si>
  <si>
    <t>BENITES GARCILAZO ANA MARIA</t>
  </si>
  <si>
    <t>40773281</t>
  </si>
  <si>
    <t>BERDEJO ROJAS GIOVANNA PATRICIA</t>
  </si>
  <si>
    <t>77499015</t>
  </si>
  <si>
    <t>BERNALES MARTINEZ LESLY JOHANNA</t>
  </si>
  <si>
    <t>21533359</t>
  </si>
  <si>
    <t>BERNAOLA HUASASQUICHE VIVIANA GRACIELA</t>
  </si>
  <si>
    <t>46702191</t>
  </si>
  <si>
    <t>BLACIDO PASCUAL TANIA ANDREA</t>
  </si>
  <si>
    <t>45573933</t>
  </si>
  <si>
    <t>BLAS MORALES ERICA DIANA</t>
  </si>
  <si>
    <t>43151190</t>
  </si>
  <si>
    <t>BORJAS NAVARRO ANA MARIA</t>
  </si>
  <si>
    <t>41010834</t>
  </si>
  <si>
    <t>BOZA MARROQUIN MALENA IVON</t>
  </si>
  <si>
    <t>42928573</t>
  </si>
  <si>
    <t>BRAVO DE RUEDA JULCA JESSYCA YUNEIRA</t>
  </si>
  <si>
    <t>46042925</t>
  </si>
  <si>
    <t>BRAVO NAVEDA TESSY TANIA</t>
  </si>
  <si>
    <t>18213931</t>
  </si>
  <si>
    <t>BRICEÑO CONTRERAS SANDRA VERONIKA</t>
  </si>
  <si>
    <t>45728534</t>
  </si>
  <si>
    <t>BRUNO GONZALES YESENIA</t>
  </si>
  <si>
    <t>44821864</t>
  </si>
  <si>
    <t>BUENDIA APARICIO JHENSEN</t>
  </si>
  <si>
    <t>74202574</t>
  </si>
  <si>
    <t>BUENDIA SOSA SIXTO</t>
  </si>
  <si>
    <t>42504803</t>
  </si>
  <si>
    <t>BUENO BELTRAN ENRIQUE CIRO</t>
  </si>
  <si>
    <t>41677261</t>
  </si>
  <si>
    <t>BURGOS PANIAGUA YINNA VANEZA</t>
  </si>
  <si>
    <t>45262133</t>
  </si>
  <si>
    <t>CABALCANTI URBANO MARCO ABEL</t>
  </si>
  <si>
    <t>46129846</t>
  </si>
  <si>
    <t>CABRERA PASTOR ALEJANDRO MAURICIO</t>
  </si>
  <si>
    <t>40995207</t>
  </si>
  <si>
    <t>CACERES TEJADA JOSE FERNANDO</t>
  </si>
  <si>
    <t>08508783</t>
  </si>
  <si>
    <t>CACHAY SILVA LUCIANO</t>
  </si>
  <si>
    <t>25793657</t>
  </si>
  <si>
    <t>CADENILLAS ESPINOZA LUIS</t>
  </si>
  <si>
    <t>45420305</t>
  </si>
  <si>
    <t>CALDERON HUALLAMARES SUZY NATALY</t>
  </si>
  <si>
    <t>41751525</t>
  </si>
  <si>
    <t>CAMA DE LA CRUZ FELICITA MARGARITA</t>
  </si>
  <si>
    <t>48883817</t>
  </si>
  <si>
    <t>CAMA IGREDA EDWIN OSWALDO</t>
  </si>
  <si>
    <t>73008742</t>
  </si>
  <si>
    <t>CAMACHO RAMOS CARITO YUSBELI</t>
  </si>
  <si>
    <t>46419432</t>
  </si>
  <si>
    <t>CAMPOS VASQUEZ MARLYN JOSELYN</t>
  </si>
  <si>
    <t>41266318</t>
  </si>
  <si>
    <t>CANGAHUALA GONZALES MARIA KARINA</t>
  </si>
  <si>
    <t>47072917</t>
  </si>
  <si>
    <t>CANO NAUCAPOMA KACY MARCIE</t>
  </si>
  <si>
    <t>41317049</t>
  </si>
  <si>
    <t>CAPISTRANO FABIAN FLOR VILMA</t>
  </si>
  <si>
    <t>41392890</t>
  </si>
  <si>
    <t>CARAZAS BACA DE PEZOA PATRICIA</t>
  </si>
  <si>
    <t>74143216</t>
  </si>
  <si>
    <t>CARBONERO JESUSI KIMBERLY STEFANIA</t>
  </si>
  <si>
    <t>43839782</t>
  </si>
  <si>
    <t>CARDENAS DEL AGUILA CYNTHIA SUSANA</t>
  </si>
  <si>
    <t>47239650</t>
  </si>
  <si>
    <t>CARIAPAZA GARCIA ALEXANDRA</t>
  </si>
  <si>
    <t>43158441</t>
  </si>
  <si>
    <t>CARLOS AYROS JUAN DANIEL</t>
  </si>
  <si>
    <t>42143687</t>
  </si>
  <si>
    <t>CARLOS CORONADO MICHAEL</t>
  </si>
  <si>
    <t>44811499</t>
  </si>
  <si>
    <t>CARRANZA SUAREZ KAREN ROCIO</t>
  </si>
  <si>
    <t>47185699</t>
  </si>
  <si>
    <t>CARRERA TAFUR ISABEL CRISTINA</t>
  </si>
  <si>
    <t>08557602</t>
  </si>
  <si>
    <t>CARRETERO ACUÑA ELIDA DANIELA</t>
  </si>
  <si>
    <t>43322242</t>
  </si>
  <si>
    <t>CASAS LIZA RICARDO HUMBERTO</t>
  </si>
  <si>
    <t>45501529</t>
  </si>
  <si>
    <t>CASTAÑEDA PUICON LLENER ALBERTO</t>
  </si>
  <si>
    <t>43631031</t>
  </si>
  <si>
    <t>CASTAÑEDA ROBLES VICTOR FERNANDO</t>
  </si>
  <si>
    <t>41071238</t>
  </si>
  <si>
    <t>CASTAÑEDA ZEVALLOS WALTER ALEXIS</t>
  </si>
  <si>
    <t>40764985</t>
  </si>
  <si>
    <t>CASTILLA VEGA EDWIN ENRIQUE</t>
  </si>
  <si>
    <t>41457466</t>
  </si>
  <si>
    <t>CASTILLO CUENCA JOSEHP CHRISTOPHER</t>
  </si>
  <si>
    <t>45360830</t>
  </si>
  <si>
    <t>CASTILLO ESPINOZA AIDA JHULIANA ASUNCION</t>
  </si>
  <si>
    <t>44140718</t>
  </si>
  <si>
    <t>CASTILLO FALCON CINTHIA ROXANNA</t>
  </si>
  <si>
    <t>10219976</t>
  </si>
  <si>
    <t>CASTILLO RUIZ GIORDI EMANUEL</t>
  </si>
  <si>
    <t>42117285</t>
  </si>
  <si>
    <t>CASTRO CRUZ SONIA</t>
  </si>
  <si>
    <t>42502239</t>
  </si>
  <si>
    <t>CAVALCANTI OSCATEGUI JOHAN SANTY DANGHELLO</t>
  </si>
  <si>
    <t>70343346</t>
  </si>
  <si>
    <t>CCASANI QUISPE GABRIEL ANIBAL</t>
  </si>
  <si>
    <t>44952631</t>
  </si>
  <si>
    <t>CERNA MONSEFU RONALD</t>
  </si>
  <si>
    <t>41994355</t>
  </si>
  <si>
    <t>CESPEDES ELESPURU YESICA PAOLA</t>
  </si>
  <si>
    <t>44927269</t>
  </si>
  <si>
    <t>CESPEDES FLORES MELCHORA</t>
  </si>
  <si>
    <t>40742071</t>
  </si>
  <si>
    <t>CHANG RUIZ MAYRA EDITH</t>
  </si>
  <si>
    <t>10509288</t>
  </si>
  <si>
    <t>CHANG YACTAYO JESUS ROSARIO</t>
  </si>
  <si>
    <t>ARTESANO</t>
  </si>
  <si>
    <t>09513077</t>
  </si>
  <si>
    <t>CHANG YACTAYO MARIA YSABEL</t>
  </si>
  <si>
    <t>40455511</t>
  </si>
  <si>
    <t>CHAVEZ CASTILLO ELVIRA SILVANA</t>
  </si>
  <si>
    <t>25861377</t>
  </si>
  <si>
    <t>CHAVEZ HUAMAN ISAAC</t>
  </si>
  <si>
    <t>16664002</t>
  </si>
  <si>
    <t>CHAVEZ MALCA HUBERT</t>
  </si>
  <si>
    <t>45347918</t>
  </si>
  <si>
    <t>CHAVEZ ROBLES DIANA CAROLINA</t>
  </si>
  <si>
    <t>41736649</t>
  </si>
  <si>
    <t>CHAVEZ VASQUEZ ROSARIO DEL PILAR</t>
  </si>
  <si>
    <t>46998305</t>
  </si>
  <si>
    <t>CHIRINOS SANCHEZ CLAUDIA ANALIZA</t>
  </si>
  <si>
    <t>74704135</t>
  </si>
  <si>
    <t>CISNEROS CASTILLO ALDAIR ALEXANDER</t>
  </si>
  <si>
    <t>46369678</t>
  </si>
  <si>
    <t>CLEMENTE BRICEÑO KAROL MARIA</t>
  </si>
  <si>
    <t>40441778</t>
  </si>
  <si>
    <t>CLERQUE DIAZ EDITH JENNY</t>
  </si>
  <si>
    <t>40388148</t>
  </si>
  <si>
    <t>COANQUI GONZALES OFELIA</t>
  </si>
  <si>
    <t>46462230</t>
  </si>
  <si>
    <t>COLOMA ESPINOZA KAREN RUTH</t>
  </si>
  <si>
    <t>43606865</t>
  </si>
  <si>
    <t>CONCHA GARAYAR HARRY VICTOR RAUL</t>
  </si>
  <si>
    <t>25578394</t>
  </si>
  <si>
    <t>CONDORI CHOQUE NANCY FELICIANA</t>
  </si>
  <si>
    <t>25813043</t>
  </si>
  <si>
    <t>CONDORI NAVARRO FABIANA</t>
  </si>
  <si>
    <t>09520802</t>
  </si>
  <si>
    <t>CONTRERAS RIVAS NELIDA IRENE</t>
  </si>
  <si>
    <t>41377147</t>
  </si>
  <si>
    <t>CORDOVA CURI JANET</t>
  </si>
  <si>
    <t>25781362</t>
  </si>
  <si>
    <t>CORDOVA MEDINA FREDY</t>
  </si>
  <si>
    <t>45577923</t>
  </si>
  <si>
    <t>CORNEJO CORREA KATHERINE</t>
  </si>
  <si>
    <t>46566710</t>
  </si>
  <si>
    <t>CORONADO DE LA CRUZ MAYRA SOFIA</t>
  </si>
  <si>
    <t>15848034</t>
  </si>
  <si>
    <t>CORREA CUBAS CARMELA VIOLETA</t>
  </si>
  <si>
    <t>47485779</t>
  </si>
  <si>
    <t>CORTEZ SILVA YOSELYN JHANETTE</t>
  </si>
  <si>
    <t>06250643</t>
  </si>
  <si>
    <t>CORTEZ TANTARUNA YOLANDA CRUZ</t>
  </si>
  <si>
    <t>40544657</t>
  </si>
  <si>
    <t>CRISOSTOMO MILACHAY ANA MARIA</t>
  </si>
  <si>
    <t>76935102</t>
  </si>
  <si>
    <t>CRISPIN ROJAS Karen Rosario</t>
  </si>
  <si>
    <t>40841042</t>
  </si>
  <si>
    <t>CRUZ MERA NURY VERONICA</t>
  </si>
  <si>
    <t>70753644</t>
  </si>
  <si>
    <t>CRUZ SANTOS YONATAN RAUL</t>
  </si>
  <si>
    <t>47882327</t>
  </si>
  <si>
    <t>CRUZ VALLEJOS EDITA</t>
  </si>
  <si>
    <t>47933257</t>
  </si>
  <si>
    <t>CRUZ VILLANUEVA CARMEN ANYELINA</t>
  </si>
  <si>
    <t>42360843</t>
  </si>
  <si>
    <t>CUADROS SEGOVIA MARCO OCTAVIO</t>
  </si>
  <si>
    <t>00968348</t>
  </si>
  <si>
    <t>CUBAS MONDRAGON FROILAN</t>
  </si>
  <si>
    <t>41315819</t>
  </si>
  <si>
    <t>CUENTAS VELA JOSSY LUZ</t>
  </si>
  <si>
    <t>45557397</t>
  </si>
  <si>
    <t>CURI SALVADOR SHEYLA NIEVES</t>
  </si>
  <si>
    <t>10313785</t>
  </si>
  <si>
    <t>DE LA CRUZ SOLIS LAURA LICET</t>
  </si>
  <si>
    <t>40679631</t>
  </si>
  <si>
    <t>DEL CASTILLO PINTO MARIA RAFFAELLA</t>
  </si>
  <si>
    <t>41694723</t>
  </si>
  <si>
    <t>DEL CASTILLO TORRES CARMELA</t>
  </si>
  <si>
    <t>41591766</t>
  </si>
  <si>
    <t>DELGADO FUSTAMANTE LUZ BELLA</t>
  </si>
  <si>
    <t>73678644</t>
  </si>
  <si>
    <t>DELGADO TEJADA KAYLEE TATJANA</t>
  </si>
  <si>
    <t>41741002</t>
  </si>
  <si>
    <t>DIAZ IZQUIERDO ALLEN JHOSMY</t>
  </si>
  <si>
    <t>41095538</t>
  </si>
  <si>
    <t>DIAZ ROBINSON ANGELA MARIA</t>
  </si>
  <si>
    <t>25752353</t>
  </si>
  <si>
    <t>DIESTRA FLORES BERTHA GIOVANNA</t>
  </si>
  <si>
    <t>45226532</t>
  </si>
  <si>
    <t>DUEÑAS CHOQUE GABRIELA</t>
  </si>
  <si>
    <t>42976041</t>
  </si>
  <si>
    <t>DUEÑAS MORENO MARIA LUISA</t>
  </si>
  <si>
    <t>44270950</t>
  </si>
  <si>
    <t>ECHEVARRIA CANALES SUSSY CAROLINA</t>
  </si>
  <si>
    <t>09906931</t>
  </si>
  <si>
    <t>ELIAS VARGAS HUGO MICHEL</t>
  </si>
  <si>
    <t>40493207</t>
  </si>
  <si>
    <t>ENRIQUE BAUTISTA CLERI RUTH</t>
  </si>
  <si>
    <t>47178283</t>
  </si>
  <si>
    <t>ESPILCO PORTUGAL ELIZABETH JULIA</t>
  </si>
  <si>
    <t>44553225</t>
  </si>
  <si>
    <t>ESPINO CHACHI FIORELLA</t>
  </si>
  <si>
    <t>80612786</t>
  </si>
  <si>
    <t>ESPINOZA ALEJO MILAGROS RAQUEL</t>
  </si>
  <si>
    <t>06941181</t>
  </si>
  <si>
    <t>ESPINOZA ALVARADO MARIA ANTONIA</t>
  </si>
  <si>
    <t>44797350</t>
  </si>
  <si>
    <t>ESPINOZA BELTRAN JUAN DAVID ENMANUEL</t>
  </si>
  <si>
    <t>43507083</t>
  </si>
  <si>
    <t>ESPINOZA CARLOS MAYRA YSABEL</t>
  </si>
  <si>
    <t>45868528</t>
  </si>
  <si>
    <t>ESPINOZA CODINA CHRISTIAN JACINTO</t>
  </si>
  <si>
    <t>70441108</t>
  </si>
  <si>
    <t>ESPINOZA ESPIRITU ROXANA KATHERINE</t>
  </si>
  <si>
    <t>45312922</t>
  </si>
  <si>
    <t>ESPINOZA MARCELO DAISY BRID</t>
  </si>
  <si>
    <t>75110173</t>
  </si>
  <si>
    <t>ESPINOZA MARTINEZ SHAYRA SUHEY</t>
  </si>
  <si>
    <t>43477439</t>
  </si>
  <si>
    <t>ESPINOZA OCHOA LIZ</t>
  </si>
  <si>
    <t>76951290</t>
  </si>
  <si>
    <t>ESPINOZA PAREDES FIORELA GUISELA</t>
  </si>
  <si>
    <t>42022324</t>
  </si>
  <si>
    <t>ESPINOZA SOTO MAXIMILIANA MARIA</t>
  </si>
  <si>
    <t>43869785</t>
  </si>
  <si>
    <t>ESQUEN PEREZ ANDY JESUS</t>
  </si>
  <si>
    <t>42728396</t>
  </si>
  <si>
    <t>ESTRADA BURGOS LILIA EMPERATRIZ</t>
  </si>
  <si>
    <t>40502589</t>
  </si>
  <si>
    <t>FAJARDO ROSAS JUSTO ENRIQUE</t>
  </si>
  <si>
    <t>TECNICO/A ASISTENCIAL</t>
  </si>
  <si>
    <t>09891602</t>
  </si>
  <si>
    <t>FALCON MAYTA LUZ FRANCISCA</t>
  </si>
  <si>
    <t>43237836</t>
  </si>
  <si>
    <t>FARFAN NARBASTA CAROL VICTORIA</t>
  </si>
  <si>
    <t>24482096</t>
  </si>
  <si>
    <t>FARFAN PANTIGOSO MARLENI</t>
  </si>
  <si>
    <t>40777035</t>
  </si>
  <si>
    <t>FARIAS ACOSTA RITA EDITH</t>
  </si>
  <si>
    <t>43062463</t>
  </si>
  <si>
    <t>FELIX SARAVIA IRMA JULISSA</t>
  </si>
  <si>
    <t>25405603</t>
  </si>
  <si>
    <t>FERNANDEZ DE RIOS BETTY</t>
  </si>
  <si>
    <t>46274086</t>
  </si>
  <si>
    <t>FERNANDEZ HERRERA JOSEFINA MAGDALENA</t>
  </si>
  <si>
    <t>72438261</t>
  </si>
  <si>
    <t>FERNANDEZ YAMANI MIEKO AKEMI</t>
  </si>
  <si>
    <t>74385109</t>
  </si>
  <si>
    <t>FIESTAS ARROYO ROSARIO DEL PILAR BEATRIZ</t>
  </si>
  <si>
    <t>45191013</t>
  </si>
  <si>
    <t>FLORES ALDANA KARLA PATRICIA</t>
  </si>
  <si>
    <t>42220323</t>
  </si>
  <si>
    <t>FLORES ALVAREZ LIBIO</t>
  </si>
  <si>
    <t>40257297</t>
  </si>
  <si>
    <t>FLORES CADILLO ERIKA MILAGROS</t>
  </si>
  <si>
    <t>43110150</t>
  </si>
  <si>
    <t>FLORES FERNANDEZ MAGALY FIORELLA</t>
  </si>
  <si>
    <t>45210228</t>
  </si>
  <si>
    <t>FLORES HUARACHA LIZBETH LUZ</t>
  </si>
  <si>
    <t>71994744</t>
  </si>
  <si>
    <t>FLORES JULIAN CORINA ALEJANDRA</t>
  </si>
  <si>
    <t>46522185</t>
  </si>
  <si>
    <t>FLORES LAZARTE JUAN EDUARDO</t>
  </si>
  <si>
    <t>41970633</t>
  </si>
  <si>
    <t>FLORES MIÑANO MIGUEL ANGEL</t>
  </si>
  <si>
    <t>42602418</t>
  </si>
  <si>
    <t>FRANCIA DE LA CRUZ ROSA JANETH</t>
  </si>
  <si>
    <t>42286223</t>
  </si>
  <si>
    <t>FUSTAMANTE FLORES JAIME JOSE</t>
  </si>
  <si>
    <t>70099015</t>
  </si>
  <si>
    <t>GALDO BUITRON RAUL</t>
  </si>
  <si>
    <t>25718597</t>
  </si>
  <si>
    <t>GALLEGOS FALCON ELIZABETH OLGA</t>
  </si>
  <si>
    <t>43070979</t>
  </si>
  <si>
    <t>GALLO QUINECHE FROILAN RICARDO</t>
  </si>
  <si>
    <t>42516329</t>
  </si>
  <si>
    <t>GALVEZ CARRASCO CELINDA CAROLINA</t>
  </si>
  <si>
    <t>42628022</t>
  </si>
  <si>
    <t>GALVEZ LOPEZ JANET MERLY</t>
  </si>
  <si>
    <t>74885099</t>
  </si>
  <si>
    <t>GAMARRA AMBICHO Shirley</t>
  </si>
  <si>
    <t>43646134</t>
  </si>
  <si>
    <t>GAMARRA GUTIERREZ JOSEPH</t>
  </si>
  <si>
    <t>70043334</t>
  </si>
  <si>
    <t>GAMARRA LEON Rocio de los Angeles</t>
  </si>
  <si>
    <t>41699072</t>
  </si>
  <si>
    <t>GAONA TORRES DELIA CORI</t>
  </si>
  <si>
    <t>10066772</t>
  </si>
  <si>
    <t>GARAUNDO RAMOS LUIS</t>
  </si>
  <si>
    <t>41704342</t>
  </si>
  <si>
    <t>GARAY KANESHIMA SILVIA KELLY</t>
  </si>
  <si>
    <t>40754438</t>
  </si>
  <si>
    <t>GARAY PEREZ ROXANA</t>
  </si>
  <si>
    <t>46557054</t>
  </si>
  <si>
    <t>GARAYAR BENDEZU MONICA MARGARITA</t>
  </si>
  <si>
    <t>43043093</t>
  </si>
  <si>
    <t>GARCIA CORONADO JESICA LINDAURA</t>
  </si>
  <si>
    <t>47843264</t>
  </si>
  <si>
    <t>GARCIA EUFENIO MARY CARMEN</t>
  </si>
  <si>
    <t>44018103</t>
  </si>
  <si>
    <t>GARCIA GARCIA DIANA CAROLINA</t>
  </si>
  <si>
    <t>44852460</t>
  </si>
  <si>
    <t>GARCIA MUÑOZ LIZ</t>
  </si>
  <si>
    <t>47235744</t>
  </si>
  <si>
    <t>GARCIA SAAVEDRA MARIO BENJAMIN</t>
  </si>
  <si>
    <t>47555827</t>
  </si>
  <si>
    <t>GERONIMO LOPEZ JULIO MARCOS</t>
  </si>
  <si>
    <t>41648539</t>
  </si>
  <si>
    <t>GIL MAMANI DE CARCASI LUZMILA</t>
  </si>
  <si>
    <t>70576470</t>
  </si>
  <si>
    <t>GOMEZ BACA GERALD DICK</t>
  </si>
  <si>
    <t>47773024</t>
  </si>
  <si>
    <t>GOMEZ QUISPE JULISSA</t>
  </si>
  <si>
    <t>40325155</t>
  </si>
  <si>
    <t>GOMEZ SEGURA VICTOR RAUL</t>
  </si>
  <si>
    <t>47110417</t>
  </si>
  <si>
    <t>GONZALES CARRANZA LUCERO BELEN</t>
  </si>
  <si>
    <t>47835092</t>
  </si>
  <si>
    <t>GONZALES RONDON GERALDINE ESTHER</t>
  </si>
  <si>
    <t>41793681</t>
  </si>
  <si>
    <t>GOÑAS ROJAS JHUNERSI</t>
  </si>
  <si>
    <t>45508065</t>
  </si>
  <si>
    <t>GORDILLO FERNANDEZ JUAN CARLOS</t>
  </si>
  <si>
    <t>32962448</t>
  </si>
  <si>
    <t>GRANADOS MIRANDA ANGEL ANTONIO</t>
  </si>
  <si>
    <t>45722085</t>
  </si>
  <si>
    <t>GRANDEZ RENGIFO CLAUDIA ISABEL</t>
  </si>
  <si>
    <t>72227554</t>
  </si>
  <si>
    <t>GRANDEZ RODRIGUEZ PATSY PIERINA</t>
  </si>
  <si>
    <t>25484563</t>
  </si>
  <si>
    <t>GUANILO RODRIGUEZ CLARA LILIANA</t>
  </si>
  <si>
    <t>07906409</t>
  </si>
  <si>
    <t>GUERRA CANESSA VILMA MARY</t>
  </si>
  <si>
    <t>70441097</t>
  </si>
  <si>
    <t>GUERRA CHALCO CINTHYA GRISELA</t>
  </si>
  <si>
    <t>72084473</t>
  </si>
  <si>
    <t>GUERRA MATTA ANNY MELISSA</t>
  </si>
  <si>
    <t>41414401</t>
  </si>
  <si>
    <t>GUERRERO CAMPOS ALEXANDRA JANET</t>
  </si>
  <si>
    <t>40495302</t>
  </si>
  <si>
    <t>GUERRERO MUÑOZ JENNY ELIZABETH</t>
  </si>
  <si>
    <t>46740514</t>
  </si>
  <si>
    <t>GUILLEN SAENZ DIEGO ALEJANDRO</t>
  </si>
  <si>
    <t>44078421</t>
  </si>
  <si>
    <t>GUTARRA CALLE LYZETH VANESSA</t>
  </si>
  <si>
    <t>41531631</t>
  </si>
  <si>
    <t>GUTIERREZ MANSILLA CINTYA LORENA</t>
  </si>
  <si>
    <t>42872849</t>
  </si>
  <si>
    <t>HARO RIOS ANALY</t>
  </si>
  <si>
    <t>41396234</t>
  </si>
  <si>
    <t>HERNANDEZ ANAYA MARIO JESUS</t>
  </si>
  <si>
    <t>41920794</t>
  </si>
  <si>
    <t>HERNANDEZ OBANDO ENRIQUE ANTOLLIN</t>
  </si>
  <si>
    <t>41578496</t>
  </si>
  <si>
    <t>HERRERA CCOICCA LIZ MABEL</t>
  </si>
  <si>
    <t>44880890</t>
  </si>
  <si>
    <t>HERRERA JUAREZ ROSA LISBETH</t>
  </si>
  <si>
    <t>42052802</t>
  </si>
  <si>
    <t>HERRERA MEZTANZA RUBEN ARMANDO</t>
  </si>
  <si>
    <t>47965558</t>
  </si>
  <si>
    <t>HERRERA TORIBIO JAQUELINE ELIUVINA</t>
  </si>
  <si>
    <t>45894133</t>
  </si>
  <si>
    <t>HUALLPA PALOMARES JIMMY WALTER</t>
  </si>
  <si>
    <t>42654584</t>
  </si>
  <si>
    <t>HUAMAN GONZALES ROXANA CAROLINA</t>
  </si>
  <si>
    <t>71313787</t>
  </si>
  <si>
    <t>HUAMAN JULIAN VERENIZ NOELIA</t>
  </si>
  <si>
    <t>47102252</t>
  </si>
  <si>
    <t>HUAMAN RACACHA MAHALI MELANNIA</t>
  </si>
  <si>
    <t>25862980</t>
  </si>
  <si>
    <t>HUAMAN YABAR ANGELA JANETH</t>
  </si>
  <si>
    <t>46869833</t>
  </si>
  <si>
    <t>HUAMAN YERREN MARIA STEFANIA</t>
  </si>
  <si>
    <t>48335921</t>
  </si>
  <si>
    <t>HUAMANI CHIPANA Sandra Sofia</t>
  </si>
  <si>
    <t>46088688</t>
  </si>
  <si>
    <t>HUAMANI SANCHEZ BILLY ALBERT</t>
  </si>
  <si>
    <t>25762954</t>
  </si>
  <si>
    <t>HUANRI RAMIREZ LIDIA MARIA</t>
  </si>
  <si>
    <t>18011280</t>
  </si>
  <si>
    <t>HUAPAYA MIÑANO VICTOR HUGO</t>
  </si>
  <si>
    <t>46904484</t>
  </si>
  <si>
    <t>HUERTAS ARANGO KARINA CECILIA</t>
  </si>
  <si>
    <t>43303260</t>
  </si>
  <si>
    <t>HUILLCA JANCCO MARGARITA MARIA</t>
  </si>
  <si>
    <t>46161301</t>
  </si>
  <si>
    <t>HURTADO MAMANI CYNTIA CECILIA</t>
  </si>
  <si>
    <t>71032675</t>
  </si>
  <si>
    <t>IDIAQUEZ BERDURA MARTIN DANIEL</t>
  </si>
  <si>
    <t>10665604</t>
  </si>
  <si>
    <t>INOÑAN PALOMINO OTILIA</t>
  </si>
  <si>
    <t>45968390</t>
  </si>
  <si>
    <t>ISASI DE LA CRUZ MIGUEL ANGEL</t>
  </si>
  <si>
    <t>41113071</t>
  </si>
  <si>
    <t>ISLA MORALES MARIBEL MARTINA</t>
  </si>
  <si>
    <t>10689148</t>
  </si>
  <si>
    <t>JAIMES PAREDES EINAR HOMAR</t>
  </si>
  <si>
    <t>77134494</t>
  </si>
  <si>
    <t>JARA MATTA LESNIA MASSIEL</t>
  </si>
  <si>
    <t>70933663</t>
  </si>
  <si>
    <t>JIMENEZ LEON JUAN MANUEL</t>
  </si>
  <si>
    <t>46850045</t>
  </si>
  <si>
    <t>JIMENEZ ROJAS JANETT JESSICA</t>
  </si>
  <si>
    <t>46750817</t>
  </si>
  <si>
    <t>JULCAMORO AYALA KIARA CHRIS</t>
  </si>
  <si>
    <t>09852484</t>
  </si>
  <si>
    <t>KUBO SALAZAR ROSA SARITA</t>
  </si>
  <si>
    <t>42008261</t>
  </si>
  <si>
    <t>LAGUNA TORRES EMILY GRACE</t>
  </si>
  <si>
    <t>70264359</t>
  </si>
  <si>
    <t>LANCHA PEREZ MIGUEL</t>
  </si>
  <si>
    <t>TRABAJADOR DE SERVICIO</t>
  </si>
  <si>
    <t>25669910</t>
  </si>
  <si>
    <t>LANDAVERRY VDA DE HIDALGO MARGARITA AIDEE</t>
  </si>
  <si>
    <t>46727542</t>
  </si>
  <si>
    <t>LASTRA BERROSPI KATELYN ASTERIA</t>
  </si>
  <si>
    <t>25844556</t>
  </si>
  <si>
    <t>LAU VALENCIA FLOR DE MARIA</t>
  </si>
  <si>
    <t>46116384</t>
  </si>
  <si>
    <t>LAZARO DIAZ HELIANA DANEZA</t>
  </si>
  <si>
    <t>40671111</t>
  </si>
  <si>
    <t>LAZO MENDOZA GUSTAVO ENRIQUE</t>
  </si>
  <si>
    <t>47700548</t>
  </si>
  <si>
    <t>LEIVA HUARANCCA MILAGROS THALIA</t>
  </si>
  <si>
    <t>43575781</t>
  </si>
  <si>
    <t>LENCI OBANDO MADELEINE ROSA DE MARIA</t>
  </si>
  <si>
    <t>08596614</t>
  </si>
  <si>
    <t>LEON JOYA MARIA YSABEL</t>
  </si>
  <si>
    <t>41079251</t>
  </si>
  <si>
    <t>LEON TORRES CARLOS ENRIQUE</t>
  </si>
  <si>
    <t>40222235</t>
  </si>
  <si>
    <t>LEON ZUÑIGA FANNY YULY</t>
  </si>
  <si>
    <t>44766299</t>
  </si>
  <si>
    <t>LEVANO ROJAS PATRICIA</t>
  </si>
  <si>
    <t>46389510</t>
  </si>
  <si>
    <t>LIMO TORO DE CHAVEZ NANDY GASDALY</t>
  </si>
  <si>
    <t>41150452</t>
  </si>
  <si>
    <t>LINARES ALIAGA JORGE LUIS</t>
  </si>
  <si>
    <t>45614183</t>
  </si>
  <si>
    <t>LIPA CHALCO JUAN AUGUSTO</t>
  </si>
  <si>
    <t>10749879</t>
  </si>
  <si>
    <t>LIVIA DE LA CRUZ PATRICIA LORENA</t>
  </si>
  <si>
    <t>47370522</t>
  </si>
  <si>
    <t>LLACSAHUANGA CARHUACHINCHAY MARIA BETTY</t>
  </si>
  <si>
    <t>44350721</t>
  </si>
  <si>
    <t>LLANCA RAMOS DELIA ZOILA</t>
  </si>
  <si>
    <t>40600551</t>
  </si>
  <si>
    <t>LLANCA RENGIFO LETY</t>
  </si>
  <si>
    <t>70444145</t>
  </si>
  <si>
    <t>LOPEZ CERVERA ANDREA DENISSE</t>
  </si>
  <si>
    <t>44189913</t>
  </si>
  <si>
    <t>LOPEZ MENDOZA AIDA FLOR</t>
  </si>
  <si>
    <t>45357239</t>
  </si>
  <si>
    <t>LOPEZ MENDOZA ALICIA DEL PILAR</t>
  </si>
  <si>
    <t>45671809</t>
  </si>
  <si>
    <t>LOPEZ RODRIGUEZ CARMEN MILAGROS</t>
  </si>
  <si>
    <t>41453784</t>
  </si>
  <si>
    <t>LORO GONZALES MARIA ANGELICA</t>
  </si>
  <si>
    <t>43252290</t>
  </si>
  <si>
    <t>LOYAGA MUSAYON WILMER ALFREDO</t>
  </si>
  <si>
    <t>25414291</t>
  </si>
  <si>
    <t>LOYOLA HURTADO ROSARIO MARLENE</t>
  </si>
  <si>
    <t>10880971</t>
  </si>
  <si>
    <t>LOZANO PAJUELO PATRICIA LILIANA</t>
  </si>
  <si>
    <t>09619504</t>
  </si>
  <si>
    <t>LOZANO ROLDAN JOSEFINA</t>
  </si>
  <si>
    <t>10373129</t>
  </si>
  <si>
    <t>LUNAREJO CHICOMA OMAR</t>
  </si>
  <si>
    <t>41436616</t>
  </si>
  <si>
    <t>LUQUE MONROY INES</t>
  </si>
  <si>
    <t>10403786</t>
  </si>
  <si>
    <t>MACEDO AREVALO GILMA</t>
  </si>
  <si>
    <t>80159163</t>
  </si>
  <si>
    <t>MACEDO AVALOS DAVID GENARO</t>
  </si>
  <si>
    <t>07932818</t>
  </si>
  <si>
    <t>MACHICADO ZUÑIGA IVI ANGELICA</t>
  </si>
  <si>
    <t>42642891</t>
  </si>
  <si>
    <t>MADUEÑO FERNANDEZ LUIS DANIEL</t>
  </si>
  <si>
    <t>70897926</t>
  </si>
  <si>
    <t>MALASQUEZ PASTOR KERI ALEXANDRA</t>
  </si>
  <si>
    <t>40716380</t>
  </si>
  <si>
    <t>MALPARTIDA MACEDO DIANA</t>
  </si>
  <si>
    <t>44350081</t>
  </si>
  <si>
    <t>MAMANI APAZA WALDEMAR</t>
  </si>
  <si>
    <t>25517995</t>
  </si>
  <si>
    <t>MANCILLA HERNANDEZ CARLOS ADOLFO</t>
  </si>
  <si>
    <t>44653971</t>
  </si>
  <si>
    <t>MANDUJANO ESTEBAN JOSE LUIS</t>
  </si>
  <si>
    <t>41560361</t>
  </si>
  <si>
    <t>MANRIQUE ASTO EMMA NANCY</t>
  </si>
  <si>
    <t>43576260</t>
  </si>
  <si>
    <t>MANUELO ILLACUTIPA BERTHA</t>
  </si>
  <si>
    <t>73881254</t>
  </si>
  <si>
    <t>MANUYAMA VASQUEZ ORLANDO</t>
  </si>
  <si>
    <t>44374248</t>
  </si>
  <si>
    <t>MAPELLI BERMUDO FABIOLA ESTHER</t>
  </si>
  <si>
    <t>70259238</t>
  </si>
  <si>
    <t>MARCOS APOLAYA ROSALIA ISABEL</t>
  </si>
  <si>
    <t>02171938</t>
  </si>
  <si>
    <t>MARCOS LUPACA JULIAN AGUSTIN</t>
  </si>
  <si>
    <t>08046305</t>
  </si>
  <si>
    <t>MARCOS RODRIGUEZ CONSUELO ESTHER</t>
  </si>
  <si>
    <t>42413587</t>
  </si>
  <si>
    <t>MARIN MARQUEZ CRISTHIAN IVAN</t>
  </si>
  <si>
    <t>46091584</t>
  </si>
  <si>
    <t>MARINO SEGURA CARLA PIERINA</t>
  </si>
  <si>
    <t>41194497</t>
  </si>
  <si>
    <t>MARREROS LLOCLLA JUAN JESUS</t>
  </si>
  <si>
    <t>70444822</t>
  </si>
  <si>
    <t>MARTICORENA QUEVEDO DIEGO ALEJANDRO</t>
  </si>
  <si>
    <t>44553864</t>
  </si>
  <si>
    <t>MARTINEZ CRUZ MERLY YESSABELA</t>
  </si>
  <si>
    <t>44739015</t>
  </si>
  <si>
    <t>MARTINEZ GUTIERREZ MARIELLA MILUSKA</t>
  </si>
  <si>
    <t>42585282</t>
  </si>
  <si>
    <t>MARTINEZ ROMERO GISELLA IRENE</t>
  </si>
  <si>
    <t>46993423</t>
  </si>
  <si>
    <t>MARTINI PASTOR PIERINA LUCIA</t>
  </si>
  <si>
    <t>41826071</t>
  </si>
  <si>
    <t>MEDINA HUAMANI GLENY SIRLEI</t>
  </si>
  <si>
    <t>45686787</t>
  </si>
  <si>
    <t>MEDINA JULON LUZ ANITA</t>
  </si>
  <si>
    <t>25810886</t>
  </si>
  <si>
    <t>MEDINA ZAMORA CARMEN MARGOTT</t>
  </si>
  <si>
    <t>10288464</t>
  </si>
  <si>
    <t>MEJIA FLORES MARIA TERESA</t>
  </si>
  <si>
    <t>43280792</t>
  </si>
  <si>
    <t>MEJIA ROJAS KONI KATERIN</t>
  </si>
  <si>
    <t>74169953</t>
  </si>
  <si>
    <t>MEJIA TARRILLO MARIA ASUNCIONA</t>
  </si>
  <si>
    <t>07230184</t>
  </si>
  <si>
    <t>MENDIZABAL DELGADO GALA EMILIA MARIA TERESA H</t>
  </si>
  <si>
    <t>76653382</t>
  </si>
  <si>
    <t>MENDOZA GARCIA CYNTHIA GERALDINE</t>
  </si>
  <si>
    <t>45889971</t>
  </si>
  <si>
    <t>MENDOZA GUTIERREZ KATERIN VICTORIA</t>
  </si>
  <si>
    <t>46262249</t>
  </si>
  <si>
    <t>MENDOZA HERRERA MILAGROS LISBETH</t>
  </si>
  <si>
    <t>42128210</t>
  </si>
  <si>
    <t>MENDOZA LEON CYNTHIA DEL SOCORRO</t>
  </si>
  <si>
    <t>45406512</t>
  </si>
  <si>
    <t>MENDOZA RAMOS SOFIA KATHERINE</t>
  </si>
  <si>
    <t>09340238</t>
  </si>
  <si>
    <t>MENDOZA TORRES ROCIO HERLINDA</t>
  </si>
  <si>
    <t>43680557</t>
  </si>
  <si>
    <t>MENDOZA VEGA GINO ALFREDO</t>
  </si>
  <si>
    <t>40857660</t>
  </si>
  <si>
    <t>MENGOA CASTAÑEDA HELEN MARGIORI</t>
  </si>
  <si>
    <t>46645619</t>
  </si>
  <si>
    <t>MERLIN CONTRERAS PAVEL RICARDO</t>
  </si>
  <si>
    <t>47125274</t>
  </si>
  <si>
    <t>MEZA PALOMINO YOSSELY MARGARITA</t>
  </si>
  <si>
    <t>43567430</t>
  </si>
  <si>
    <t>MEZA RIVERA YOHANI</t>
  </si>
  <si>
    <t>03893058</t>
  </si>
  <si>
    <t>MIJAHUANGA MARCHAN ROSA ELENA</t>
  </si>
  <si>
    <t>47595028</t>
  </si>
  <si>
    <t>MIRANDA SALAS LIZ LUCIA</t>
  </si>
  <si>
    <t>43261594</t>
  </si>
  <si>
    <t>MOLERO TORRES KARLA</t>
  </si>
  <si>
    <t>46130394</t>
  </si>
  <si>
    <t>MOLINA ORTIZ NOHELY ANTUANET</t>
  </si>
  <si>
    <t>42876147</t>
  </si>
  <si>
    <t>MONDRAGON TICONA ROBERTO DAVID</t>
  </si>
  <si>
    <t>46335169</t>
  </si>
  <si>
    <t>MONTEJO SANCHEZ MILAGROS ROXANA</t>
  </si>
  <si>
    <t>25767661</t>
  </si>
  <si>
    <t>MONTESINOS COTA DOMINGA</t>
  </si>
  <si>
    <t>ANALISTA DE PROCESOS LOGISTICO</t>
  </si>
  <si>
    <t>32737325</t>
  </si>
  <si>
    <t>MONTOYA BLAS ZOILA NORABEL</t>
  </si>
  <si>
    <t>40412088</t>
  </si>
  <si>
    <t>MONTOYA SARAVIA ROY DAVID</t>
  </si>
  <si>
    <t>45721034</t>
  </si>
  <si>
    <t>MORALES MORALES LILIANA</t>
  </si>
  <si>
    <t>44496754</t>
  </si>
  <si>
    <t>MORE TERAN JUAN CARLOS</t>
  </si>
  <si>
    <t>41842705</t>
  </si>
  <si>
    <t>MOREYRA GUSHIKEN MARILYN ASTRID</t>
  </si>
  <si>
    <t>40972717</t>
  </si>
  <si>
    <t>MORI PIZARRO LUDIT</t>
  </si>
  <si>
    <t>42863372</t>
  </si>
  <si>
    <t>MORI TRIGOZO LIZ</t>
  </si>
  <si>
    <t>43723918</t>
  </si>
  <si>
    <t>MOROCHO MALDONADO VICENTE</t>
  </si>
  <si>
    <t>43273407</t>
  </si>
  <si>
    <t>MORON LAURA ANALI KARINA</t>
  </si>
  <si>
    <t>45698399</t>
  </si>
  <si>
    <t>MOSAJA ALANYA VICTOR DAVID</t>
  </si>
  <si>
    <t>72410655</t>
  </si>
  <si>
    <t>MOSCOSO APAZA LAURA ATHENAS</t>
  </si>
  <si>
    <t>45827157</t>
  </si>
  <si>
    <t>MUCHAYPIÑA AGUILAR GRESIA KATERIN</t>
  </si>
  <si>
    <t>44352427</t>
  </si>
  <si>
    <t>MUCHAYPIÑA TATAJE SARITA PATRICIA</t>
  </si>
  <si>
    <t>21575093</t>
  </si>
  <si>
    <t>MUNAYCO NAVARRETE ERIKA DANIELA</t>
  </si>
  <si>
    <t>43026448</t>
  </si>
  <si>
    <t>MUÑANTE ARZAPALO JORGE ALBERTO</t>
  </si>
  <si>
    <t>43978484</t>
  </si>
  <si>
    <t>MUÑOZ VARGAS NELLY GIOVANNA</t>
  </si>
  <si>
    <t>41286074</t>
  </si>
  <si>
    <t>MURO MARRUFO PAMELA DENISSE</t>
  </si>
  <si>
    <t>07239836</t>
  </si>
  <si>
    <t>MURRIETA VELA RICARDO DANTE</t>
  </si>
  <si>
    <t>47159363</t>
  </si>
  <si>
    <t>NAPA ROJAS GIULIANA ESTEFANIA</t>
  </si>
  <si>
    <t>44103408</t>
  </si>
  <si>
    <t>NAVARRO CAMPOS NARDA EDITH</t>
  </si>
  <si>
    <t>70786549</t>
  </si>
  <si>
    <t>NAVARRO LIZANA JHONAFER JESUS</t>
  </si>
  <si>
    <t>42417694</t>
  </si>
  <si>
    <t>NESTERENKO CORTES JORGE VLADIMIR</t>
  </si>
  <si>
    <t>43125842</t>
  </si>
  <si>
    <t>NINAQUISPE NONATO WERNHER HEINZ</t>
  </si>
  <si>
    <t>07833842</t>
  </si>
  <si>
    <t>NOVOA ALLAGUAL ALVARO JAVIER</t>
  </si>
  <si>
    <t>41839942</t>
  </si>
  <si>
    <t>NUÑEZ PERALTA CARLOS ALBERTO</t>
  </si>
  <si>
    <t>ANALISTA DE PROGRAMACION Y EST</t>
  </si>
  <si>
    <t>06270795</t>
  </si>
  <si>
    <t>OCAÑA ENRIQUE EUFRACIO</t>
  </si>
  <si>
    <t>ESPECIALISTA EN PROCESOS LOGIS</t>
  </si>
  <si>
    <t>43652264</t>
  </si>
  <si>
    <t>OCAÑA VELASQUEZ ANGEL ANTONIO</t>
  </si>
  <si>
    <t>25843581</t>
  </si>
  <si>
    <t>OCHOA MEDINA MARLENE RENEE</t>
  </si>
  <si>
    <t>25607172</t>
  </si>
  <si>
    <t>OLIDEN AREVALO MONICA DEL ROSARIO</t>
  </si>
  <si>
    <t>47121211</t>
  </si>
  <si>
    <t>OLIVO NARVAEZ GIANFRANCO MAURICIO</t>
  </si>
  <si>
    <t>44899457</t>
  </si>
  <si>
    <t>OLMOS TENA ANGELICA MARIA</t>
  </si>
  <si>
    <t>45157339</t>
  </si>
  <si>
    <t>OLORTEGUI INCA JOVANA MARTINA</t>
  </si>
  <si>
    <t>42975986</t>
  </si>
  <si>
    <t>OREZANO FRANCISCO DENISSE</t>
  </si>
  <si>
    <t>44316502</t>
  </si>
  <si>
    <t>ORTEGA MARROQUIN CRISTINA LORENA</t>
  </si>
  <si>
    <t>25858836</t>
  </si>
  <si>
    <t>ORTEGA MIRANDA NANCY</t>
  </si>
  <si>
    <t>09625421</t>
  </si>
  <si>
    <t>ORTEGA UGALDI Rosario Ines</t>
  </si>
  <si>
    <t>71913255</t>
  </si>
  <si>
    <t>ORTIZ CRIOLLO SELY</t>
  </si>
  <si>
    <t>33431443</t>
  </si>
  <si>
    <t>ORTIZ JIMENEZ DE DELGADO GLADIS YANET</t>
  </si>
  <si>
    <t>48416764</t>
  </si>
  <si>
    <t>OSCO ARAUJO GIANMARCO</t>
  </si>
  <si>
    <t>44553306</t>
  </si>
  <si>
    <t>OVIEDO ORGUA YECSEP</t>
  </si>
  <si>
    <t>46612747</t>
  </si>
  <si>
    <t>OYOLA ARCELLES LUCERITO VANESSA</t>
  </si>
  <si>
    <t>41508180</t>
  </si>
  <si>
    <t>OYOLA VARGAS IRMA DAYANA</t>
  </si>
  <si>
    <t>44570375</t>
  </si>
  <si>
    <t>PACHAS APOLAYA MARIA PAOLA</t>
  </si>
  <si>
    <t>70832265</t>
  </si>
  <si>
    <t>PACHECO BASTIDAS JUAN CARLOS</t>
  </si>
  <si>
    <t>47157792</t>
  </si>
  <si>
    <t>PADILLA ACUÑA JIMMY STEVENS</t>
  </si>
  <si>
    <t>47001964</t>
  </si>
  <si>
    <t>PADILLA CHINCHAY CELENDINA</t>
  </si>
  <si>
    <t>40405005</t>
  </si>
  <si>
    <t>PALACIOS ESPINOZA ELIZABETH MILAGROS</t>
  </si>
  <si>
    <t>22303414</t>
  </si>
  <si>
    <t>PALOMINO GALVEZ LUIS</t>
  </si>
  <si>
    <t>45473527</t>
  </si>
  <si>
    <t>PANDURO DELGADO ALMERIA CAROL</t>
  </si>
  <si>
    <t>25852202</t>
  </si>
  <si>
    <t>PANDURO MUÑOZ PATRICIA</t>
  </si>
  <si>
    <t>40796927</t>
  </si>
  <si>
    <t>PANDURO ZEVALLOS MARGIE GISELA</t>
  </si>
  <si>
    <t>43052070</t>
  </si>
  <si>
    <t>PARCO TINTAYA SILVIA SOPHIA</t>
  </si>
  <si>
    <t>43775429</t>
  </si>
  <si>
    <t>PAREDES CADENAS ROSA ANGELA</t>
  </si>
  <si>
    <t>46950199</t>
  </si>
  <si>
    <t>PAREDES JARAMA ELOY BERNARDO</t>
  </si>
  <si>
    <t>08038604</t>
  </si>
  <si>
    <t>PAREDES MENDOZA PILAR JUANA</t>
  </si>
  <si>
    <t>40427241</t>
  </si>
  <si>
    <t>PAREDES SILVERA PATRICIA GIOVANA</t>
  </si>
  <si>
    <t>42187405</t>
  </si>
  <si>
    <t>PAREJA GARCIA ELIZABETH STEPHANIE</t>
  </si>
  <si>
    <t>43313309</t>
  </si>
  <si>
    <t>PAREJAS QUINTANA VICTOR DANIEL</t>
  </si>
  <si>
    <t>42886646</t>
  </si>
  <si>
    <t>PEÑA LEVANO JUAN CARLOS</t>
  </si>
  <si>
    <t>43861229</t>
  </si>
  <si>
    <t>PEÑALVA SAJI RENZO</t>
  </si>
  <si>
    <t>25857886</t>
  </si>
  <si>
    <t>PERALTA BALDOCEDA KELIN EDITH</t>
  </si>
  <si>
    <t>45469417</t>
  </si>
  <si>
    <t>PEREZ CHERO JESUS MAXIMILIANO</t>
  </si>
  <si>
    <t>25771883</t>
  </si>
  <si>
    <t>PEREZ CRUZ ARLENE CECILIA</t>
  </si>
  <si>
    <t>43909195</t>
  </si>
  <si>
    <t>PEREZ ESPINAL NANCY ROXANA</t>
  </si>
  <si>
    <t>41664973</t>
  </si>
  <si>
    <t>PEREZ LOPEZ ZADHELYN NATALIA</t>
  </si>
  <si>
    <t>25716554</t>
  </si>
  <si>
    <t>PEREZ MONROY DAVIS</t>
  </si>
  <si>
    <t>40242431</t>
  </si>
  <si>
    <t>PINEDO ALBINO ANA OLGA</t>
  </si>
  <si>
    <t>41128289</t>
  </si>
  <si>
    <t>PINEDO GAMARRA KAROL CLOTILDE</t>
  </si>
  <si>
    <t>42945898</t>
  </si>
  <si>
    <t>PINEDO TORRES ISABEL ANGELICA</t>
  </si>
  <si>
    <t>25632940</t>
  </si>
  <si>
    <t>POVES PECHO HELMER HUGO</t>
  </si>
  <si>
    <t>70166879</t>
  </si>
  <si>
    <t>POZO PONCE VICTOR ALBERTO</t>
  </si>
  <si>
    <t>46512785</t>
  </si>
  <si>
    <t>PRADO CAMACHO CAROLINA JANET</t>
  </si>
  <si>
    <t>47267797</t>
  </si>
  <si>
    <t>PUNTILLO RODRIGUEZ JOSHELYN MAYTE</t>
  </si>
  <si>
    <t>25504430</t>
  </si>
  <si>
    <t>PUSACLLA SUPA LORENZO JUSTINIANO</t>
  </si>
  <si>
    <t>44171254</t>
  </si>
  <si>
    <t>QUENALLATA SANCHEZ LILIANA</t>
  </si>
  <si>
    <t>06247451</t>
  </si>
  <si>
    <t>QUIN SALAZAR CELESTINO</t>
  </si>
  <si>
    <t>43409217</t>
  </si>
  <si>
    <t>QUINTANA VALER GISSELLA ELIANA</t>
  </si>
  <si>
    <t>42366690</t>
  </si>
  <si>
    <t>QUIROZ MURGA JORGE MIGUEL</t>
  </si>
  <si>
    <t>44527280</t>
  </si>
  <si>
    <t>QUISPE ALEGRE ANGELA LORENA</t>
  </si>
  <si>
    <t>70464544</t>
  </si>
  <si>
    <t>QUISPE AMARU JOSE LUIS</t>
  </si>
  <si>
    <t>44347904</t>
  </si>
  <si>
    <t>QUISPE BARRETO IRENE ROSARIO</t>
  </si>
  <si>
    <t>41381565</t>
  </si>
  <si>
    <t>QUISPE BARRIGA ELIDA NOEMI</t>
  </si>
  <si>
    <t>41635830</t>
  </si>
  <si>
    <t>QUISPE CASTILLA MIGUEL ANGEL</t>
  </si>
  <si>
    <t>46215827</t>
  </si>
  <si>
    <t>QUISPE CORTEZ SARA</t>
  </si>
  <si>
    <t>47127380</t>
  </si>
  <si>
    <t>QUISPE PADILLA JORGE ANTONIO</t>
  </si>
  <si>
    <t>41556805</t>
  </si>
  <si>
    <t>QUISPE PONCE LUZ ANGELICA</t>
  </si>
  <si>
    <t>41603436</t>
  </si>
  <si>
    <t>QUISPE RICCI ANGEL JONATHAN</t>
  </si>
  <si>
    <t>42797908</t>
  </si>
  <si>
    <t>QUISPE SANTOS JONATHAN FRANKLIN</t>
  </si>
  <si>
    <t>46591656</t>
  </si>
  <si>
    <t>RAMIREZ CORONADO ROSALINA</t>
  </si>
  <si>
    <t>45766936</t>
  </si>
  <si>
    <t>RAMIREZ FLORES ROCIO DEL CARMEN</t>
  </si>
  <si>
    <t>42278609</t>
  </si>
  <si>
    <t>RAMIREZ PANDURO GLADIS JEOVANA</t>
  </si>
  <si>
    <t>43498428</t>
  </si>
  <si>
    <t>RAMIREZ TELLO ANALUZ</t>
  </si>
  <si>
    <t>46460606</t>
  </si>
  <si>
    <t>RAMOS BORBOY SOLAGNE ANTHUANET</t>
  </si>
  <si>
    <t>10693900</t>
  </si>
  <si>
    <t>RAMOS CASTAÑEDA BETTY LILY</t>
  </si>
  <si>
    <t>73032367</t>
  </si>
  <si>
    <t>RAMOS CHIPANA RANDHY FILOMENO</t>
  </si>
  <si>
    <t>41865994</t>
  </si>
  <si>
    <t>RAMOS CHOQQUE REGINA</t>
  </si>
  <si>
    <t>72326396</t>
  </si>
  <si>
    <t>RAMOS HUAMANI MARICIELO PAMELA</t>
  </si>
  <si>
    <t>43476187</t>
  </si>
  <si>
    <t>RAMOS QUISPE NANCY</t>
  </si>
  <si>
    <t>44386068</t>
  </si>
  <si>
    <t>RAMOS ROJAS ROSEMERY LILIBETH</t>
  </si>
  <si>
    <t>41766540</t>
  </si>
  <si>
    <t>RAMOS VARGAS JOSE MANUEL</t>
  </si>
  <si>
    <t>09794046</t>
  </si>
  <si>
    <t>RENGIFO RENGIFO SANDRO ITALO</t>
  </si>
  <si>
    <t>42934143</t>
  </si>
  <si>
    <t>REYES CHINCHAY GLADYS JAZMIN</t>
  </si>
  <si>
    <t>41888703</t>
  </si>
  <si>
    <t>REYES GERONIMO JUAN DE DIOS</t>
  </si>
  <si>
    <t>43761373</t>
  </si>
  <si>
    <t>REYES MAEDA JULIA ANDREA KAZUMI</t>
  </si>
  <si>
    <t>40404606</t>
  </si>
  <si>
    <t>RIOS JULCA NILTON HECTOR</t>
  </si>
  <si>
    <t>41545818</t>
  </si>
  <si>
    <t>RIVERA DE LA CRUZ EVELYN MENICA AZUCENA</t>
  </si>
  <si>
    <t>46303884</t>
  </si>
  <si>
    <t>ROBLES ACUÑA MILAGROS ANGELICA</t>
  </si>
  <si>
    <t>44530965</t>
  </si>
  <si>
    <t>ROCA HUAMAN FELIPE</t>
  </si>
  <si>
    <t>44776698</t>
  </si>
  <si>
    <t>ROCILLO LLACCTAS JACKELINE JENIFFER</t>
  </si>
  <si>
    <t>45847261</t>
  </si>
  <si>
    <t>RODRIGUEZ AHOMED NABILA DEL ROSARIO</t>
  </si>
  <si>
    <t>43460285</t>
  </si>
  <si>
    <t>RODRIGUEZ ANGLES GIAN CARLOS RENZO</t>
  </si>
  <si>
    <t>46080444</t>
  </si>
  <si>
    <t>RODRIGUEZ ARNAO MELISSA ANGELICA</t>
  </si>
  <si>
    <t>15862878</t>
  </si>
  <si>
    <t>RODRIGUEZ LOPEZ ANITA MARIELA</t>
  </si>
  <si>
    <t>45251872</t>
  </si>
  <si>
    <t>RODRIGUEZ SOLIS BERBARDINA</t>
  </si>
  <si>
    <t>43067030</t>
  </si>
  <si>
    <t>RODRIGUEZ VARGAS BRINY OMAR</t>
  </si>
  <si>
    <t>25446903</t>
  </si>
  <si>
    <t>ROJAS LA ROSA ANA MARIA</t>
  </si>
  <si>
    <t>76602256</t>
  </si>
  <si>
    <t>ROJAS MEJIA DIEGO CESAR</t>
  </si>
  <si>
    <t>ADMINISTRADOR PAGINA WEB</t>
  </si>
  <si>
    <t>41772538</t>
  </si>
  <si>
    <t>ROJAS MENA CHRISTIAN ENRIQUE</t>
  </si>
  <si>
    <t>44998968</t>
  </si>
  <si>
    <t>ROJAS MORA ROSA MARITZA</t>
  </si>
  <si>
    <t>25575488</t>
  </si>
  <si>
    <t>ROJAS OTERO RUBEN RAUL</t>
  </si>
  <si>
    <t>40241103</t>
  </si>
  <si>
    <t>ROJAS REYES DE CARRION SARITA DEL PILAR</t>
  </si>
  <si>
    <t>27080475</t>
  </si>
  <si>
    <t>ROMERO TEJADA TEODORO NICOLAS</t>
  </si>
  <si>
    <t>47502154</t>
  </si>
  <si>
    <t>ROMERO VERAMENDI ASTRID ROSMERY</t>
  </si>
  <si>
    <t>72229954</t>
  </si>
  <si>
    <t>RONCEROS SIMEON VIVIANA LORENZA</t>
  </si>
  <si>
    <t>41323813</t>
  </si>
  <si>
    <t>RUA CUELLAR RUTH LILIANA</t>
  </si>
  <si>
    <t>45110188</t>
  </si>
  <si>
    <t>RUA VILLAVERDE GISELA</t>
  </si>
  <si>
    <t>44908784</t>
  </si>
  <si>
    <t>RUGEL GALVEZ SHIRLEY KATTERIN</t>
  </si>
  <si>
    <t>43678921</t>
  </si>
  <si>
    <t>RUIZ CASTELLANOS RAUL</t>
  </si>
  <si>
    <t>06006378</t>
  </si>
  <si>
    <t>RUIZ RAMIREZ GILBERTO</t>
  </si>
  <si>
    <t>44537637</t>
  </si>
  <si>
    <t>SABOYA TORRES CICCIANI PAUL</t>
  </si>
  <si>
    <t>41320406</t>
  </si>
  <si>
    <t>SAENZ LEON DAICY LILIANA</t>
  </si>
  <si>
    <t>72630714</t>
  </si>
  <si>
    <t>SALAS FANOLA DANYA ALEXANDRA</t>
  </si>
  <si>
    <t>25558695</t>
  </si>
  <si>
    <t>SALAS JIMENEZ LUZ EMILIA</t>
  </si>
  <si>
    <t>42735265</t>
  </si>
  <si>
    <t>SALAS VALDERRAMA RODRIGO ALFONSO</t>
  </si>
  <si>
    <t>42189142</t>
  </si>
  <si>
    <t>SALAZAR ROJAS JUDIT</t>
  </si>
  <si>
    <t>25837891</t>
  </si>
  <si>
    <t>SALAZAR ZAPATA ENRIQUE GUILLERMO</t>
  </si>
  <si>
    <t>49042102</t>
  </si>
  <si>
    <t>SALCEDO VALDIVIEZO OSKARELIS DEL VALLE</t>
  </si>
  <si>
    <t>71894318</t>
  </si>
  <si>
    <t>SALDAÑA GASPAR MARIA VICTORIA</t>
  </si>
  <si>
    <t>06169440</t>
  </si>
  <si>
    <t>SALDAÑA LEON JUSTO DAVID</t>
  </si>
  <si>
    <t>41903612</t>
  </si>
  <si>
    <t>SALDAÑA PEZO KAREN STEFFANY</t>
  </si>
  <si>
    <t>44852252</t>
  </si>
  <si>
    <t>SALINAS RAMIREZ MARIA ELENA</t>
  </si>
  <si>
    <t>41914256</t>
  </si>
  <si>
    <t>SALINAS VASQUEZ SUSAN JULIANA</t>
  </si>
  <si>
    <t>42976814</t>
  </si>
  <si>
    <t>SALLICA LEGUIA MICHAEL RONALD</t>
  </si>
  <si>
    <t>42769755</t>
  </si>
  <si>
    <t>SANCHEZ HORNA GABRIELITA DEL PILAR</t>
  </si>
  <si>
    <t>45276887</t>
  </si>
  <si>
    <t>SANCHEZ LLANOS EINE ALONDRA</t>
  </si>
  <si>
    <t>70415828</t>
  </si>
  <si>
    <t>SANCHEZ MITACC MARTIN NIKOLAI</t>
  </si>
  <si>
    <t>45495016</t>
  </si>
  <si>
    <t>SANCHEZ SANDOVAL LUIS ELECTO</t>
  </si>
  <si>
    <t>47952893</t>
  </si>
  <si>
    <t>SANCHEZ VALENZUELA CINDY YELIXA</t>
  </si>
  <si>
    <t>44369057</t>
  </si>
  <si>
    <t>SANDOVAL HUARCAYA JENNY ISABEL</t>
  </si>
  <si>
    <t>46943426</t>
  </si>
  <si>
    <t>SANTAMARIA IPANAQUE CARLOS ENRIQUE</t>
  </si>
  <si>
    <t>43598857</t>
  </si>
  <si>
    <t>SANTANA MONTAÑEZ MARIA ISABEL</t>
  </si>
  <si>
    <t>44112666</t>
  </si>
  <si>
    <t>SANTILLAN ALFARO EVELYN</t>
  </si>
  <si>
    <t>TÉCNICO EN ENFERMERÍA</t>
  </si>
  <si>
    <t>45617026</t>
  </si>
  <si>
    <t>SARMIENTO ESTRADA Jacqueline Margaret</t>
  </si>
  <si>
    <t>25717145</t>
  </si>
  <si>
    <t>SEGURA CASTRO TATYANA ANDREA</t>
  </si>
  <si>
    <t>42424576</t>
  </si>
  <si>
    <t>SEQUEIROS CHIRINOS JOEL MARIO</t>
  </si>
  <si>
    <t>43879509</t>
  </si>
  <si>
    <t>SERRANO GOICOCHEA ANA IVONNE</t>
  </si>
  <si>
    <t>72453165</t>
  </si>
  <si>
    <t>SEVERINO CHAVEZ LESLY KIARA</t>
  </si>
  <si>
    <t>42434827</t>
  </si>
  <si>
    <t>SEVILLA CHOQUE JUAN ALBERTO</t>
  </si>
  <si>
    <t>45137809</t>
  </si>
  <si>
    <t>SILVA PIÑAS LAURA DANIELA</t>
  </si>
  <si>
    <t>07878060</t>
  </si>
  <si>
    <t>SIMON ESCUDERO OMAR ANTONIO</t>
  </si>
  <si>
    <t>07537368</t>
  </si>
  <si>
    <t>SINARAHUA CACHIQUE ALFREDO</t>
  </si>
  <si>
    <t>25703948</t>
  </si>
  <si>
    <t>SIPION VILCHEZ JENNY MARIBEL</t>
  </si>
  <si>
    <t>70051313</t>
  </si>
  <si>
    <t>SOLANO BAZAN CINTHYA LISBETH</t>
  </si>
  <si>
    <t>10622449</t>
  </si>
  <si>
    <t>SOLIS CERNA JESUS IVAN</t>
  </si>
  <si>
    <t>SIN CARGO</t>
  </si>
  <si>
    <t>25458532</t>
  </si>
  <si>
    <t>SORIA SANCHEZ FERNANDO ISIDRO</t>
  </si>
  <si>
    <t>80339365</t>
  </si>
  <si>
    <t>SORIANO OSORIO ELVA YESICA</t>
  </si>
  <si>
    <t>43144006</t>
  </si>
  <si>
    <t>SOTELO CASTILLO RAUL ENRIQUE</t>
  </si>
  <si>
    <t>42897817</t>
  </si>
  <si>
    <t>SOTELO RABANAL JOSE ARMANDO</t>
  </si>
  <si>
    <t>41008701</t>
  </si>
  <si>
    <t>SOTO ASENCIOS BIBIAN ALBERTA</t>
  </si>
  <si>
    <t>72722222</t>
  </si>
  <si>
    <t>SUAREZ CALDERON RUTH ROSARIO</t>
  </si>
  <si>
    <t>48138828</t>
  </si>
  <si>
    <t>SUAREZ MENDOZA KELLY LUCERO</t>
  </si>
  <si>
    <t>41375663</t>
  </si>
  <si>
    <t>SUAREZ ROJAS MARIELA ERIKA</t>
  </si>
  <si>
    <t>43694240</t>
  </si>
  <si>
    <t>SUPO PILCO ALDO CESAR</t>
  </si>
  <si>
    <t>10688945</t>
  </si>
  <si>
    <t>SURCO MAMANI ROSSMERY JUANA</t>
  </si>
  <si>
    <t>25860311</t>
  </si>
  <si>
    <t>TAPIA CALLOHUANCA ANGELO JAVIER</t>
  </si>
  <si>
    <t>09899529</t>
  </si>
  <si>
    <t>TENICELA CANCHAYA MARIA ELENA</t>
  </si>
  <si>
    <t>42168442</t>
  </si>
  <si>
    <t>THOMAS PIO JENIFER</t>
  </si>
  <si>
    <t>44999960</t>
  </si>
  <si>
    <t>TIRADO PAREDES ROXANA PILAR</t>
  </si>
  <si>
    <t>44954398</t>
  </si>
  <si>
    <t>TITO MORAN SAYDA EMELY</t>
  </si>
  <si>
    <t>44754438</t>
  </si>
  <si>
    <t>TODELANO TUEROS FAVIO DAVID</t>
  </si>
  <si>
    <t>04743223</t>
  </si>
  <si>
    <t>TOLEDO CUAYLA ADAN LUIS</t>
  </si>
  <si>
    <t>47688617</t>
  </si>
  <si>
    <t>TORDOYA MORAN Marco Antonio</t>
  </si>
  <si>
    <t>02428122</t>
  </si>
  <si>
    <t>TORRES ALVAREZ GRETNA ZAHIR</t>
  </si>
  <si>
    <t>06102692</t>
  </si>
  <si>
    <t>TORRES CHAVEZ DE SERRANO BLANCA</t>
  </si>
  <si>
    <t>72850705</t>
  </si>
  <si>
    <t>TORRES CRUZADO ESTHER BELEN</t>
  </si>
  <si>
    <t>41192030</t>
  </si>
  <si>
    <t>TORRES GONZALES LICENIA</t>
  </si>
  <si>
    <t>10131263</t>
  </si>
  <si>
    <t>TORRES LEON ANA MARIA</t>
  </si>
  <si>
    <t>40330109</t>
  </si>
  <si>
    <t>TORRES PEREZ BERTHA</t>
  </si>
  <si>
    <t>46415882</t>
  </si>
  <si>
    <t>TORRES PEREZ MARILU</t>
  </si>
  <si>
    <t>ASISTENTE DE COMUNICACIONES</t>
  </si>
  <si>
    <t>06796028</t>
  </si>
  <si>
    <t>TORRES SALAS MARTIN</t>
  </si>
  <si>
    <t>42690967</t>
  </si>
  <si>
    <t>TOSCANO ROJAS MANUEL FRANCISCO</t>
  </si>
  <si>
    <t>45173535</t>
  </si>
  <si>
    <t>TRUJILLANO NAVARRO LIZBETH VIOLETA</t>
  </si>
  <si>
    <t>73050296</t>
  </si>
  <si>
    <t>UGAZ LUNA AIDA MARIANNA</t>
  </si>
  <si>
    <t>43055568</t>
  </si>
  <si>
    <t>UNOCC HUINCHO ADELIA DOMINGA</t>
  </si>
  <si>
    <t>44656493</t>
  </si>
  <si>
    <t>URQUIA ANGELINO MARILYN</t>
  </si>
  <si>
    <t>44699740</t>
  </si>
  <si>
    <t>URQUIA ANGELINO SHEYLA</t>
  </si>
  <si>
    <t>46564539</t>
  </si>
  <si>
    <t>VALENCIA GAMBOA KARLA DENNIS</t>
  </si>
  <si>
    <t>45835536</t>
  </si>
  <si>
    <t>VALENCIA PORTUGUEZ FLAVIA GIOVANA</t>
  </si>
  <si>
    <t>08713540</t>
  </si>
  <si>
    <t>VALENZUELA OROPEZA VICTOR</t>
  </si>
  <si>
    <t>45723333</t>
  </si>
  <si>
    <t>VALVERDE CORDOVA MARILIN JUDITH</t>
  </si>
  <si>
    <t>72915759</t>
  </si>
  <si>
    <t>VALVERDE RODRIGUEZ FIORELLA EMPERATIRZ</t>
  </si>
  <si>
    <t>45711792</t>
  </si>
  <si>
    <t>VALVERDE TELLO REBECA ROSSY</t>
  </si>
  <si>
    <t>40486568</t>
  </si>
  <si>
    <t>VARGAS MENDOZA ENMANUEL</t>
  </si>
  <si>
    <t>25780198</t>
  </si>
  <si>
    <t>VARGAS MOLINA NORMA GLADYS</t>
  </si>
  <si>
    <t>45457183</t>
  </si>
  <si>
    <t>VARGAS RIOS HAROLD EDUARDO</t>
  </si>
  <si>
    <t>70440058</t>
  </si>
  <si>
    <t>VASQUEZ CERRO JOSE GABRIEL</t>
  </si>
  <si>
    <t>73689804</t>
  </si>
  <si>
    <t>VASQUEZ DIAZ MARIA ANALI</t>
  </si>
  <si>
    <t>43124918</t>
  </si>
  <si>
    <t>VASQUEZ MALQUI GIULIANA MARISABEL</t>
  </si>
  <si>
    <t>44493630</t>
  </si>
  <si>
    <t>VASQUEZ QUICAÑO KAREN KAROL</t>
  </si>
  <si>
    <t>09094816</t>
  </si>
  <si>
    <t>VASQUEZ RODRIGUEZ ZORAIDA CLELIA</t>
  </si>
  <si>
    <t>41975021</t>
  </si>
  <si>
    <t>VASQUEZ SANTILLAN LUIS FELIPE GUSTAVO</t>
  </si>
  <si>
    <t>07617948</t>
  </si>
  <si>
    <t>VASQUEZ VILLAR ANGEL DAVID</t>
  </si>
  <si>
    <t>43708706</t>
  </si>
  <si>
    <t>VEGA DE LA CRUZ HERBERT ANDREI</t>
  </si>
  <si>
    <t>40027191</t>
  </si>
  <si>
    <t>VEGA SOTO ANGIE NELLY</t>
  </si>
  <si>
    <t>09605445</t>
  </si>
  <si>
    <t>VELANDO RUIZ IVETTE</t>
  </si>
  <si>
    <t>42711885</t>
  </si>
  <si>
    <t>VELASQUEZ PINTO GERSON FRANK</t>
  </si>
  <si>
    <t>07498197</t>
  </si>
  <si>
    <t>VENTOSILLA VILLANUEVA RONALD</t>
  </si>
  <si>
    <t>17447150</t>
  </si>
  <si>
    <t>VERA CORNEJO MAX DUBER</t>
  </si>
  <si>
    <t>70388658</t>
  </si>
  <si>
    <t>VERA DEL CARPIO CARLOS JOSUE</t>
  </si>
  <si>
    <t>09964698</t>
  </si>
  <si>
    <t>VICTORIO TAPIA ESTHER OLINDA</t>
  </si>
  <si>
    <t>28266762</t>
  </si>
  <si>
    <t>VILCAMICHE LOPEZ VICTORIA</t>
  </si>
  <si>
    <t>41553908</t>
  </si>
  <si>
    <t>VILCAPUMA HUANACO CARMEN YANET</t>
  </si>
  <si>
    <t>42079036</t>
  </si>
  <si>
    <t>VILCHEZ FERNANDEZ LEIDI</t>
  </si>
  <si>
    <t>42664971</t>
  </si>
  <si>
    <t>VILLANUEVA GAMARRA PAOLA CRISTINA</t>
  </si>
  <si>
    <t>09950593</t>
  </si>
  <si>
    <t>VILLANUEVA RIVAS ELIZABETH BERTILA</t>
  </si>
  <si>
    <t>46177497</t>
  </si>
  <si>
    <t>VILLAVICENCIO LEON BRENDA GIANNINA</t>
  </si>
  <si>
    <t>10799399</t>
  </si>
  <si>
    <t>VILLAVICENCIO RODRIGUEZ CESAR</t>
  </si>
  <si>
    <t>48123593</t>
  </si>
  <si>
    <t>YAFAC CASAS YAZMIN MILAGROS</t>
  </si>
  <si>
    <t>10799863</t>
  </si>
  <si>
    <t>YALTA ARCE HERMAN</t>
  </si>
  <si>
    <t>42883948</t>
  </si>
  <si>
    <t>YAMUNAQUE MORE NELLY</t>
  </si>
  <si>
    <t>70013543</t>
  </si>
  <si>
    <t>YANGUA FLORES ESTEFANY DEL PILAR</t>
  </si>
  <si>
    <t>43820155</t>
  </si>
  <si>
    <t>YAÑEZ RENGIFO LEYDI DORELLY</t>
  </si>
  <si>
    <t>43156157</t>
  </si>
  <si>
    <t>YATACO CAMERO RICHARD BORIS</t>
  </si>
  <si>
    <t>33827363</t>
  </si>
  <si>
    <t>YLATOMA CHAMAYA ALAMIRO</t>
  </si>
  <si>
    <t>43740684</t>
  </si>
  <si>
    <t>YNUMA TORREJON GLORIA ELIZABETH</t>
  </si>
  <si>
    <t>47358685</t>
  </si>
  <si>
    <t>YOVERA LINDO ESTEBAN ALONSO</t>
  </si>
  <si>
    <t>10560994</t>
  </si>
  <si>
    <t>YUPANQUI ESPINOZA JOEL LUGUI</t>
  </si>
  <si>
    <t>41139165</t>
  </si>
  <si>
    <t>ZAPATA PERALTA EMMA GUILLERMINA</t>
  </si>
  <si>
    <t>48126205</t>
  </si>
  <si>
    <t>ZARATE ANTONIO Lily Marlay</t>
  </si>
  <si>
    <t>74233584</t>
  </si>
  <si>
    <t>ZAVALA CALDERON YAZMIN LIZZET</t>
  </si>
  <si>
    <t>46020635</t>
  </si>
  <si>
    <t>ZAVALETA FLORIAN KATHERINE MARIANA</t>
  </si>
  <si>
    <t>10732281</t>
  </si>
  <si>
    <t>ZEGARRA LLAMAPONCA GRISELDA MONICA</t>
  </si>
  <si>
    <t>46141848</t>
  </si>
  <si>
    <t>ZEGARRA SERNA ANA FRANCESSCA</t>
  </si>
  <si>
    <t>15865264</t>
  </si>
  <si>
    <t>ZEVALLOS MAGUIÑA AMERICA</t>
  </si>
  <si>
    <t>25832680</t>
  </si>
  <si>
    <t>ZUMAETA FIGUEREDO LAURA AMANDA</t>
  </si>
  <si>
    <t>40320561</t>
  </si>
  <si>
    <t>ZUÑIGA ARAUJO HECTOR HERIBERTO</t>
  </si>
  <si>
    <t>72891987</t>
  </si>
  <si>
    <t>ZURITA ESQUIVEL MILUSKA KRISTAL</t>
  </si>
  <si>
    <t>UE: 404 HOSPITAL DE REHABILITACION</t>
  </si>
  <si>
    <t>SEGUROS (ESPECIFICAR): SCTR</t>
  </si>
  <si>
    <t>UNIDAD EJECUTORA:  404 - HOSPITAL DE REHABILITACION</t>
  </si>
  <si>
    <t>NIVEL 24</t>
  </si>
  <si>
    <t>NIVEL 28</t>
  </si>
  <si>
    <t>404-1667</t>
  </si>
  <si>
    <t>BANCO DE LA NACIÓN</t>
  </si>
  <si>
    <t>00068368162 (001)</t>
  </si>
  <si>
    <t>00068370426 (002)</t>
  </si>
  <si>
    <t>00068368170 (003)</t>
  </si>
  <si>
    <t>00068368162 (006)</t>
  </si>
  <si>
    <t>00068368162 (004)</t>
  </si>
  <si>
    <t>00068368162 (007)</t>
  </si>
  <si>
    <t>HOSPITAL DE REHABILITACION DEL CALLAO</t>
  </si>
  <si>
    <t>R.O</t>
  </si>
  <si>
    <t>25539680</t>
  </si>
  <si>
    <t>ACUÑA SEGOVIA ROSARIO CONCEPCION</t>
  </si>
  <si>
    <t>25659838</t>
  </si>
  <si>
    <t>AGUIRRE ARAYA ROSA MIREYA</t>
  </si>
  <si>
    <t>ASISTENCIAL</t>
  </si>
  <si>
    <t>09657667</t>
  </si>
  <si>
    <t>AGUIRRE ROMERO MERCEDES JULIA</t>
  </si>
  <si>
    <t>70060705</t>
  </si>
  <si>
    <t>ALVAREZ RAMIREZ MARCELINA TORIBIA</t>
  </si>
  <si>
    <t>43260641</t>
  </si>
  <si>
    <t>ALVITES ROJAS CRISTINA MARGIOLY</t>
  </si>
  <si>
    <t>25713961</t>
  </si>
  <si>
    <t>BABILONIA PINEDO BLANCA LUZ</t>
  </si>
  <si>
    <t>42418395</t>
  </si>
  <si>
    <t>BEDON ROBLES JOSLYN ANTONIETA</t>
  </si>
  <si>
    <t>TECNICO EN REHABIL. Y FISIOT.</t>
  </si>
  <si>
    <t>45423788</t>
  </si>
  <si>
    <t>BELLIDO SEGUNDO LUIS MIGUEL</t>
  </si>
  <si>
    <t>41836225</t>
  </si>
  <si>
    <t>CAMPOS AVALOS EDITH LIBNA</t>
  </si>
  <si>
    <t>44910319</t>
  </si>
  <si>
    <t>CAMPOS SANCHEZ KELLY IVETTE</t>
  </si>
  <si>
    <t>42488144</t>
  </si>
  <si>
    <t>CARDENAS MOZOMBITE LUDITH</t>
  </si>
  <si>
    <t>43113552</t>
  </si>
  <si>
    <t>CARRASCO ASIN PAOLA ISABEL</t>
  </si>
  <si>
    <t>42078482</t>
  </si>
  <si>
    <t>CASTILLO LLAUCE KARLA JANNELLY</t>
  </si>
  <si>
    <t>41138692</t>
  </si>
  <si>
    <t>CASTILLO ROSAS CLAUDIA</t>
  </si>
  <si>
    <t>25759012</t>
  </si>
  <si>
    <t>CHERO SOTOMAYOR ELENA MILAGROS</t>
  </si>
  <si>
    <t>42100238</t>
  </si>
  <si>
    <t>CHIYONG REBAZA CINTHYA EMPERATRIZ</t>
  </si>
  <si>
    <t>43715733</t>
  </si>
  <si>
    <t>CHUQUICHAICO LOLI CHRISTIAN LEE</t>
  </si>
  <si>
    <t>42193316</t>
  </si>
  <si>
    <t>CHUQUIHUARA TORIBIO LUIS MANUEL</t>
  </si>
  <si>
    <t>42899660</t>
  </si>
  <si>
    <t>CORNEJO ESCARCENA MERCEDES ISABEL</t>
  </si>
  <si>
    <t>25773173</t>
  </si>
  <si>
    <t>CRUZ RAMOS JORGE LUIS</t>
  </si>
  <si>
    <t>25740403</t>
  </si>
  <si>
    <t>FIESTAS ECHE MIRIAM PATRICIA</t>
  </si>
  <si>
    <t>PROFESORA</t>
  </si>
  <si>
    <t>48885943</t>
  </si>
  <si>
    <t>40313740</t>
  </si>
  <si>
    <t>GAMARRA CHUMBES GIANNINA ESTHER</t>
  </si>
  <si>
    <t>43520237</t>
  </si>
  <si>
    <t>GARCIA JANAMPA ELIZABETH STEFANIA</t>
  </si>
  <si>
    <t>25770424</t>
  </si>
  <si>
    <t>HUAMAN BULNES MARITZA ESTHER</t>
  </si>
  <si>
    <t>42324977</t>
  </si>
  <si>
    <t>HUANCAS SANTISTEBAN RONALD FERNANDO</t>
  </si>
  <si>
    <t>10117876</t>
  </si>
  <si>
    <t>HUARCAYA ONTIVEROS PATRICIA RINA</t>
  </si>
  <si>
    <t>10691814</t>
  </si>
  <si>
    <t>LAYTEN PAZOS PATRICIA MILUSKA</t>
  </si>
  <si>
    <t>42109958</t>
  </si>
  <si>
    <t>LAZARO MONTES WILTON JOB</t>
  </si>
  <si>
    <t>80259780</t>
  </si>
  <si>
    <t>LIZARZABURU HUAMAN YOLANDA ROXANA</t>
  </si>
  <si>
    <t>25517464</t>
  </si>
  <si>
    <t>MEDINA POEMAPE DARIO</t>
  </si>
  <si>
    <t>09610636</t>
  </si>
  <si>
    <t>MOLINA PAZ FANNY ALICIA</t>
  </si>
  <si>
    <t>TESORERO</t>
  </si>
  <si>
    <t>70435454</t>
  </si>
  <si>
    <t>NUÑEZ ZEGARRA JOANA</t>
  </si>
  <si>
    <t>ODONTOLOGO(A)</t>
  </si>
  <si>
    <t>41083723</t>
  </si>
  <si>
    <t>OBLITAS SALINAS JESUS</t>
  </si>
  <si>
    <t>40376661</t>
  </si>
  <si>
    <t>OBREGON ZARATE DENIS HIRAM</t>
  </si>
  <si>
    <t>TECNICO EN MANTENIMIENTO EQUIP</t>
  </si>
  <si>
    <t>41282278</t>
  </si>
  <si>
    <t>PANTOJA ROLDAN MARIA BELEN</t>
  </si>
  <si>
    <t>09641393</t>
  </si>
  <si>
    <t>PERALTA GALVAN SOLEDAD PATRICIA</t>
  </si>
  <si>
    <t>41419909</t>
  </si>
  <si>
    <t>PORTOCARRERO GUIBIN ROICER ALBERTO</t>
  </si>
  <si>
    <t>41767182</t>
  </si>
  <si>
    <t>PRADO ORTEGA LIZETH SAIRA</t>
  </si>
  <si>
    <t>48064039</t>
  </si>
  <si>
    <t>PRECIADO MENA JERRY JAMPIER</t>
  </si>
  <si>
    <t>ESPECIALISTA EN PRESUPUESTO</t>
  </si>
  <si>
    <t>46024977</t>
  </si>
  <si>
    <t>QUISPE CUYA JUANITA ELIZABETH</t>
  </si>
  <si>
    <t>46447729</t>
  </si>
  <si>
    <t>QUISPE JUAREZ CLAUDIA MALU</t>
  </si>
  <si>
    <t>08891239</t>
  </si>
  <si>
    <t>RAMIREZ ZAVALA NOELIA VANESA</t>
  </si>
  <si>
    <t>47205298</t>
  </si>
  <si>
    <t>RAMOS PASACHE IZAMAR ELVIRA</t>
  </si>
  <si>
    <t>42973202</t>
  </si>
  <si>
    <t>REQUENA HIDALGO CARLA MARIA</t>
  </si>
  <si>
    <t>40313815</t>
  </si>
  <si>
    <t>REYES HIDALGO BALBY JANETT</t>
  </si>
  <si>
    <t>42580750</t>
  </si>
  <si>
    <t>RODAS LIÑAN MARGOT MAGALY</t>
  </si>
  <si>
    <t>70105180</t>
  </si>
  <si>
    <t>RODRIGUEZ LEE KATHERIN ALICIA</t>
  </si>
  <si>
    <t>18828529</t>
  </si>
  <si>
    <t>RODRIGUEZ RIOS MARIBEL</t>
  </si>
  <si>
    <t>ESPECIALISTA EN SALUD</t>
  </si>
  <si>
    <t>08125249</t>
  </si>
  <si>
    <t>ROMERO ESLAVA ALBERTO JESUS</t>
  </si>
  <si>
    <t>ASESOR</t>
  </si>
  <si>
    <t>41716978</t>
  </si>
  <si>
    <t>RUIZ NARBAJO RUTH PAOLA</t>
  </si>
  <si>
    <t>25664690</t>
  </si>
  <si>
    <t>SANTISTEBAN VIVES MARIA BLADIMIRA</t>
  </si>
  <si>
    <t>42950855</t>
  </si>
  <si>
    <t>SILVA SANDOVAL JYANCARLOS JAVIER</t>
  </si>
  <si>
    <t>25595518</t>
  </si>
  <si>
    <t>SOLIS CARRILLO ROBERTO FERNANDO</t>
  </si>
  <si>
    <t>10373608</t>
  </si>
  <si>
    <t>LAZO MEZA WILLAM ALDO</t>
  </si>
  <si>
    <t>22258835</t>
  </si>
  <si>
    <t>TIPIANI ZEGARRA VIRGINIA GICELLA</t>
  </si>
  <si>
    <t>25619661</t>
  </si>
  <si>
    <t>TORRES BERMUDEZ VICTOR ALBERTO</t>
  </si>
  <si>
    <t>JEFE DE OFICINA</t>
  </si>
  <si>
    <t>41310729</t>
  </si>
  <si>
    <t>TORRES RODRIGUEZ MARIA ISABEL</t>
  </si>
  <si>
    <t>VALDIVIESO ALARCON LUZ TATIANA</t>
  </si>
  <si>
    <t>46201793</t>
  </si>
  <si>
    <t>VERASTEGUI OJEDA IRENE RENEE</t>
  </si>
  <si>
    <t>42534807</t>
  </si>
  <si>
    <t>VERNAZZA ÑAHUI JOSE HUMBERTO</t>
  </si>
  <si>
    <t>25739787</t>
  </si>
  <si>
    <t>VILLAREYES RODRIGUEZ CARMEN ROSA</t>
  </si>
  <si>
    <t>ASISTENTE EJECUTIVO</t>
  </si>
  <si>
    <t>25740009</t>
  </si>
  <si>
    <t>YAÑEZ MALDONADO MIGUEL ANGEL</t>
  </si>
  <si>
    <t>43300865</t>
  </si>
  <si>
    <t>ZUMAETA CURUCHAGA CYNTHIA MAGALY</t>
  </si>
  <si>
    <t>PLIEGO: 464 GOBIERNO REGIONAL DE LA PROVINCIA CONSTITUCIONAL DEL CALLAO</t>
  </si>
  <si>
    <t>UNIDAD EJECUTORA: 301 COLEGIO MILITAR LEONCIO PRADO</t>
  </si>
  <si>
    <t>CAS AUXILIAR</t>
  </si>
  <si>
    <t>FORMATO 10: INFORMACION DE REMUNERACIONES Y NÚMERO DE PLAZAS -PRESUPUESTO 2019,  2020 Y PROYECTO 2021</t>
  </si>
  <si>
    <t>SERVIDOR  PROFESIONAL</t>
  </si>
  <si>
    <t>SERVIDOR TECNICO</t>
  </si>
  <si>
    <t>SERVIDOR AUXILIAR</t>
  </si>
  <si>
    <t>NIVEL  V-40</t>
  </si>
  <si>
    <t>NIVEL  III-40</t>
  </si>
  <si>
    <t>NIVEL  II-40</t>
  </si>
  <si>
    <t>NIVEL  V-32</t>
  </si>
  <si>
    <t>NIVEL  IV-32</t>
  </si>
  <si>
    <t>NIVEL  III-32</t>
  </si>
  <si>
    <t>NIVEL  II-32</t>
  </si>
  <si>
    <t>NIVEL  I-32</t>
  </si>
  <si>
    <t>NIVEL  IV-30</t>
  </si>
  <si>
    <t>NIVEL  I-30</t>
  </si>
  <si>
    <t>AUXILIAR DE EDUCACION</t>
  </si>
  <si>
    <t>MEDICO CIRUJANO   MC2</t>
  </si>
  <si>
    <t>MEDICO CIRUJANO   MC1</t>
  </si>
  <si>
    <t>ENFERMERA   NIVEL 10</t>
  </si>
  <si>
    <t>PSICOLOGO VI</t>
  </si>
  <si>
    <t>PSICOLOGO V</t>
  </si>
  <si>
    <t>PSICOLOGO IV</t>
  </si>
  <si>
    <t>AÑO 2019</t>
  </si>
  <si>
    <t>1 ADQUISICION DE CARNES</t>
  </si>
  <si>
    <t>LICITACION PUBLICA</t>
  </si>
  <si>
    <t>CORPORACION AGROPECUARIA BERTHA SAC</t>
  </si>
  <si>
    <t>SAN FERNANDO SA</t>
  </si>
  <si>
    <t>CORPORACION TERRITER SAC</t>
  </si>
  <si>
    <t>REDONDOS SA</t>
  </si>
  <si>
    <t>JORGE ALBERTO COSTA VELA</t>
  </si>
  <si>
    <t>SHOLITO SRL</t>
  </si>
  <si>
    <t>2 ADQUISICION DE ROPA DE CAMA</t>
  </si>
  <si>
    <t>ASMAT CORPORACION EIRL</t>
  </si>
  <si>
    <t>EXPORT MODE &amp; DU CAROLAYS E.I.R.L.</t>
  </si>
  <si>
    <t>DE LAMA VALLADARES JUSTO</t>
  </si>
  <si>
    <t>3 ADQUISICION DE COLCHONES</t>
  </si>
  <si>
    <t>INTERNATIONAL LOGISTIC GROUP PERU SAC</t>
  </si>
  <si>
    <t>4 ADQUISICION DE CALZADOS (ZAPATOS-BOTAS)</t>
  </si>
  <si>
    <t>SEGURINDUSTRIA SA</t>
  </si>
  <si>
    <t>EXPORT MODE DU CAROLAYS EIRL</t>
  </si>
  <si>
    <t>5 ADQUISICION DE UNIFORMES DE AULA</t>
  </si>
  <si>
    <t>EPROFAM AMY SAC</t>
  </si>
  <si>
    <t>INDUSTRIA ESTRELLA AZUL E.I.R.L.</t>
  </si>
  <si>
    <t>TEXTILES CAMILA SAC</t>
  </si>
  <si>
    <t>6 ADQUISICION DE UNIFORMES DEPORTIVOS</t>
  </si>
  <si>
    <t>J.P.Y.SPORTS SCRL</t>
  </si>
  <si>
    <t>7 ADQUISICION DE UNIFORMES DE INSTRUCCIÓN</t>
  </si>
  <si>
    <t>CREATIVIDAD TEXTIL INDUSTRIAL IMPORT &amp; EXPORT S.A.C.</t>
  </si>
  <si>
    <t>NEGOCIOS GENERALES GREEN WORDL EIRL</t>
  </si>
  <si>
    <t>8 ADQUISICION DE UNIFORMES DE SALIDA POLACA DE VERANO Y OTROS</t>
  </si>
  <si>
    <t xml:space="preserve">CONFECCIONES GENERALES NACIONALES AMERICOANTONIO S.A.C. </t>
  </si>
  <si>
    <t>9 SERVICIO DE SEGURO DE ACCIDENTE ESCOLARES</t>
  </si>
  <si>
    <t>EL PACIFICO PERUANO SUIZA  COMPAÑÍA DE SEGUROS Y REASEGUROS</t>
  </si>
  <si>
    <t>10 ADQUISICION DE UNIFORMES DE VESTIR</t>
  </si>
  <si>
    <t>HERMINIA RODAS</t>
  </si>
  <si>
    <t>11 ADQUISICION DE UTILES DE ASEO</t>
  </si>
  <si>
    <t>12 ADQUISICION DE UNIFORMES DE INSTRUCCIÓN COLOR ARENA Y ACCESORIOS</t>
  </si>
  <si>
    <t>MONTENEGRO MENDOZA ALEX EDUARDO</t>
  </si>
  <si>
    <t>13 ADQUISICION DE CONSERVAS Y OTROS</t>
  </si>
  <si>
    <t>14 ADQUISICION DE CARNES DIVERSAS</t>
  </si>
  <si>
    <t>AÑO 2020</t>
  </si>
  <si>
    <t>CANCELADO</t>
  </si>
  <si>
    <t>Por el COVID 19</t>
  </si>
  <si>
    <t>CONS:EXPORT MODE DU CAROLAYS EIRL-ALBERTO RAFAEL SOTO SAC</t>
  </si>
  <si>
    <t>RIO TRADER SAC</t>
  </si>
  <si>
    <t>ACUERDO MARCO</t>
  </si>
  <si>
    <t>INDUSTRIAS EL CISNE SAC</t>
  </si>
  <si>
    <t>4 ADQUISICION DE UNIFORMES DE AULA</t>
  </si>
  <si>
    <t>CONS: ASMAT CORPORACION EIRL-EXPORT MODE &amp; DU CAROLAYS E.I.R.L.</t>
  </si>
  <si>
    <t>8 SERVICIO DE SEGURO DE ACCIDENTE ESCOLARES</t>
  </si>
  <si>
    <t>DESIERTO</t>
  </si>
  <si>
    <t>11 ADQUISICION DE UNIFORMES DE VESTIR</t>
  </si>
  <si>
    <t>EN PROCESO</t>
  </si>
  <si>
    <t>9 ADQUISICION DE UNIFORMES DE SALIDA POLACA DE VERANO Y OTROS</t>
  </si>
  <si>
    <t>2 ADQUISICION DE VERDURAS</t>
  </si>
  <si>
    <t>3 ADQUISICION DE TUBERCULOS Y HUEVOS</t>
  </si>
  <si>
    <t>SUBASTA INVERSA ELECTRONICA</t>
  </si>
  <si>
    <t>4 ADQUISICION DE EMBUTIDOS</t>
  </si>
  <si>
    <t>5 ADQUISICION DE FRUTAS</t>
  </si>
  <si>
    <t>6 ADQUISICION DE MENESTRAS</t>
  </si>
  <si>
    <t>7 ADQUISICION DE VIVERES</t>
  </si>
  <si>
    <t>8 ADQUISICION DE LECHE Y OTROS</t>
  </si>
  <si>
    <t>9 ADQUISICION DE MATERIAL DE TOCADOR Y LIMPIEZA</t>
  </si>
  <si>
    <t>10 SERVICIO DE SEGURO DE ACCIDENTES ESCOLARES</t>
  </si>
  <si>
    <t>12ADQUISICION DE GAS DE LICUADO DE PETROLEO</t>
  </si>
  <si>
    <t>13 ADQUISICION DE UTILES DE ESCRITORIO</t>
  </si>
  <si>
    <t>14 MENORES CUANTIAS</t>
  </si>
  <si>
    <t>MENOR A LAS 8 UIT</t>
  </si>
  <si>
    <t>AÑO 2021</t>
  </si>
  <si>
    <t>01 CONSULTORIA SGCE S.A.C</t>
  </si>
  <si>
    <t>IMPLEMENTACION DEL MODELO DEL SISTEMA NACIONAL DE EVALUACION, ACREDITACION Y CERTIFICACION DE LA CALIDAD EDUCATICA</t>
  </si>
  <si>
    <t>EDUCACION</t>
  </si>
  <si>
    <t>301 COLEGIO MILITAR LEONCIO PRADO</t>
  </si>
  <si>
    <t>OOO645923</t>
  </si>
  <si>
    <t>OOO524638</t>
  </si>
  <si>
    <t>OOO525030</t>
  </si>
  <si>
    <t>CUT-000645923</t>
  </si>
  <si>
    <t>000-73005809</t>
  </si>
  <si>
    <t>1. RO</t>
  </si>
  <si>
    <t>Secretaria</t>
  </si>
  <si>
    <t>O8740581</t>
  </si>
  <si>
    <t>Yalan de Gomes  Maria del Pilar</t>
  </si>
  <si>
    <t>Instituto</t>
  </si>
  <si>
    <t>Secretariado</t>
  </si>
  <si>
    <t>Electricista</t>
  </si>
  <si>
    <t>Lopez Riz Giovanni</t>
  </si>
  <si>
    <t>Secundaria</t>
  </si>
  <si>
    <t>Tecnico</t>
  </si>
  <si>
    <t>Servicio</t>
  </si>
  <si>
    <t>Villegas Principe Luis Angel</t>
  </si>
  <si>
    <t>SNP</t>
  </si>
  <si>
    <t>2. RDR</t>
  </si>
  <si>
    <t>Mozo</t>
  </si>
  <si>
    <t>FLORES HUAMAN VICENTE</t>
  </si>
  <si>
    <t>ocupacional</t>
  </si>
  <si>
    <t>GOMEZ RODRIGUEZ MELITON</t>
  </si>
  <si>
    <t>VERA MORALES JONATHAN LUIS</t>
  </si>
  <si>
    <t>VILCHEZ CERVANTES YERSON ANDRES</t>
  </si>
  <si>
    <t>QUISPE CONDOR JEAN CARLOS</t>
  </si>
  <si>
    <t>HERNANDEZ PRADA JOSE HERNANDEZ</t>
  </si>
  <si>
    <t>MANAYAY QUISPE EVARISTO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</si>
</sst>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[$-280A]d&quot; de &quot;mmmm&quot; de &quot;yyyy;@"/>
    <numFmt numFmtId="165" formatCode="0.0"/>
    <numFmt numFmtId="166" formatCode="_-* #,##0.00\ _€_-;\-* #,##0.00\ _€_-;_-* &quot;-&quot;??\ _€_-;_-@_-"/>
    <numFmt numFmtId="167" formatCode="&quot;S/.&quot;\ #,##0"/>
    <numFmt numFmtId="168" formatCode="[$S/-280A]#,##0.00"/>
    <numFmt numFmtId="169" formatCode="_ * #,##0.00_ ;_ * \-#,##0.00_ ;_ * &quot;-&quot;??_ ;_ @_ "/>
    <numFmt numFmtId="170" formatCode="&quot;S/&quot;\ #,##0"/>
    <numFmt numFmtId="171" formatCode="#,##0.00_ ;\-#,##0.00\ "/>
    <numFmt numFmtId="172" formatCode="_ * #,##0_ ;_ * \-#,##0_ ;_ * &quot;-&quot;??_ ;_ @_ "/>
    <numFmt numFmtId="173" formatCode="_ * #,##0.0_ ;_ * \-#,##0.0_ ;_ * &quot;-&quot;??_ ;_ @_ "/>
    <numFmt numFmtId="174" formatCode="_-* #,##0_-;\-* #,##0_-;_-* &quot;-&quot;??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3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Arial"/>
      <family val="2"/>
    </font>
    <font>
      <b/>
      <u/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color theme="1"/>
      <name val="Arial Narrow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  <font>
      <sz val="9"/>
      <color theme="1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4" tint="0.79998168889431442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99999"/>
      </right>
      <top style="thin">
        <color rgb="FF999999"/>
      </top>
      <bottom/>
      <diagonal/>
    </border>
    <border>
      <left style="medium">
        <color indexed="64"/>
      </left>
      <right style="thin">
        <color rgb="FF999999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54">
    <xf numFmtId="0" fontId="0" fillId="0" borderId="0"/>
    <xf numFmtId="0" fontId="7" fillId="0" borderId="0"/>
    <xf numFmtId="0" fontId="7" fillId="0" borderId="0"/>
    <xf numFmtId="49" fontId="10" fillId="0" borderId="0"/>
    <xf numFmtId="0" fontId="4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0" applyNumberFormat="0" applyFill="0" applyAlignment="0" applyProtection="0"/>
    <xf numFmtId="0" fontId="27" fillId="0" borderId="81" applyNumberFormat="0" applyFill="0" applyAlignment="0" applyProtection="0"/>
    <xf numFmtId="0" fontId="28" fillId="0" borderId="82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3" borderId="83" applyNumberFormat="0" applyAlignment="0" applyProtection="0"/>
    <xf numFmtId="0" fontId="32" fillId="14" borderId="84" applyNumberFormat="0" applyAlignment="0" applyProtection="0"/>
    <xf numFmtId="0" fontId="33" fillId="14" borderId="83" applyNumberFormat="0" applyAlignment="0" applyProtection="0"/>
    <xf numFmtId="0" fontId="34" fillId="0" borderId="85" applyNumberFormat="0" applyFill="0" applyAlignment="0" applyProtection="0"/>
    <xf numFmtId="0" fontId="35" fillId="15" borderId="8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8" applyNumberFormat="0" applyFill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40" fillId="12" borderId="0" applyNumberFormat="0" applyBorder="0" applyAlignment="0" applyProtection="0"/>
    <xf numFmtId="0" fontId="3" fillId="16" borderId="87" applyNumberFormat="0" applyFont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40" borderId="0" applyNumberFormat="0" applyBorder="0" applyAlignment="0" applyProtection="0"/>
    <xf numFmtId="9" fontId="42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/>
    <xf numFmtId="169" fontId="56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</cellStyleXfs>
  <cellXfs count="1553">
    <xf numFmtId="0" fontId="0" fillId="0" borderId="0" xfId="0"/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vertical="center"/>
    </xf>
    <xf numFmtId="0" fontId="12" fillId="0" borderId="0" xfId="0" applyFont="1"/>
    <xf numFmtId="0" fontId="12" fillId="0" borderId="3" xfId="0" applyFont="1" applyBorder="1"/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8" xfId="0" applyFont="1" applyBorder="1"/>
    <xf numFmtId="0" fontId="12" fillId="0" borderId="0" xfId="0" applyFont="1" applyBorder="1"/>
    <xf numFmtId="0" fontId="13" fillId="0" borderId="0" xfId="0" applyFont="1" applyBorder="1"/>
    <xf numFmtId="49" fontId="12" fillId="0" borderId="0" xfId="3" applyFont="1" applyAlignment="1">
      <alignment vertical="center"/>
    </xf>
    <xf numFmtId="0" fontId="12" fillId="0" borderId="13" xfId="0" applyFont="1" applyBorder="1"/>
    <xf numFmtId="0" fontId="12" fillId="0" borderId="45" xfId="0" applyFont="1" applyBorder="1"/>
    <xf numFmtId="0" fontId="12" fillId="0" borderId="46" xfId="0" applyFont="1" applyBorder="1"/>
    <xf numFmtId="0" fontId="13" fillId="0" borderId="0" xfId="0" applyFont="1"/>
    <xf numFmtId="0" fontId="12" fillId="0" borderId="14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18" xfId="0" applyFont="1" applyBorder="1"/>
    <xf numFmtId="49" fontId="16" fillId="0" borderId="0" xfId="1" quotePrefix="1" applyNumberFormat="1" applyFont="1" applyFill="1" applyAlignment="1">
      <alignment horizontal="left" vertical="center"/>
    </xf>
    <xf numFmtId="49" fontId="12" fillId="0" borderId="0" xfId="1" applyNumberFormat="1" applyFont="1" applyFill="1" applyAlignment="1">
      <alignment horizontal="left" vertical="center"/>
    </xf>
    <xf numFmtId="0" fontId="12" fillId="0" borderId="6" xfId="0" applyFont="1" applyBorder="1"/>
    <xf numFmtId="0" fontId="12" fillId="0" borderId="21" xfId="0" applyFont="1" applyBorder="1"/>
    <xf numFmtId="49" fontId="12" fillId="0" borderId="3" xfId="0" applyNumberFormat="1" applyFont="1" applyBorder="1" applyAlignment="1">
      <alignment horizontal="left"/>
    </xf>
    <xf numFmtId="0" fontId="12" fillId="0" borderId="51" xfId="0" applyFont="1" applyBorder="1"/>
    <xf numFmtId="0" fontId="12" fillId="0" borderId="7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0" xfId="2" applyFont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3" fillId="2" borderId="18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vertical="center"/>
    </xf>
    <xf numFmtId="0" fontId="13" fillId="2" borderId="4" xfId="2" applyFont="1" applyFill="1" applyBorder="1" applyAlignment="1">
      <alignment vertical="center"/>
    </xf>
    <xf numFmtId="0" fontId="12" fillId="0" borderId="58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7" xfId="2" applyFont="1" applyBorder="1" applyAlignment="1">
      <alignment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43" xfId="2" applyFont="1" applyFill="1" applyBorder="1" applyAlignment="1">
      <alignment vertical="center"/>
    </xf>
    <xf numFmtId="0" fontId="13" fillId="2" borderId="20" xfId="2" applyFont="1" applyFill="1" applyBorder="1" applyAlignment="1">
      <alignment vertical="center"/>
    </xf>
    <xf numFmtId="0" fontId="13" fillId="2" borderId="18" xfId="2" applyFont="1" applyFill="1" applyBorder="1" applyAlignment="1">
      <alignment vertical="center"/>
    </xf>
    <xf numFmtId="0" fontId="13" fillId="2" borderId="44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14" xfId="2" applyFont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2" fillId="0" borderId="14" xfId="2" applyFont="1" applyFill="1" applyBorder="1" applyAlignment="1">
      <alignment horizontal="left" vertical="center"/>
    </xf>
    <xf numFmtId="0" fontId="13" fillId="0" borderId="14" xfId="2" applyFont="1" applyFill="1" applyBorder="1" applyAlignment="1">
      <alignment vertical="center"/>
    </xf>
    <xf numFmtId="0" fontId="13" fillId="0" borderId="4" xfId="2" applyFont="1" applyFill="1" applyBorder="1" applyAlignment="1">
      <alignment vertical="center"/>
    </xf>
    <xf numFmtId="0" fontId="12" fillId="0" borderId="12" xfId="0" applyFont="1" applyBorder="1"/>
    <xf numFmtId="0" fontId="12" fillId="0" borderId="11" xfId="0" applyFont="1" applyBorder="1"/>
    <xf numFmtId="0" fontId="13" fillId="2" borderId="7" xfId="2" applyFont="1" applyFill="1" applyBorder="1" applyAlignment="1">
      <alignment horizontal="center" vertical="center"/>
    </xf>
    <xf numFmtId="0" fontId="13" fillId="0" borderId="58" xfId="2" applyFont="1" applyFill="1" applyBorder="1" applyAlignment="1">
      <alignment vertical="center"/>
    </xf>
    <xf numFmtId="0" fontId="13" fillId="2" borderId="21" xfId="2" applyFont="1" applyFill="1" applyBorder="1" applyAlignment="1">
      <alignment horizontal="center" vertical="center"/>
    </xf>
    <xf numFmtId="0" fontId="13" fillId="0" borderId="14" xfId="2" applyFont="1" applyFill="1" applyBorder="1" applyAlignment="1">
      <alignment horizontal="left" vertical="center"/>
    </xf>
    <xf numFmtId="0" fontId="13" fillId="0" borderId="3" xfId="2" applyFont="1" applyFill="1" applyBorder="1" applyAlignment="1">
      <alignment horizontal="left" vertical="center"/>
    </xf>
    <xf numFmtId="0" fontId="12" fillId="0" borderId="58" xfId="0" applyFont="1" applyBorder="1"/>
    <xf numFmtId="0" fontId="12" fillId="0" borderId="22" xfId="0" applyFont="1" applyBorder="1"/>
    <xf numFmtId="0" fontId="12" fillId="0" borderId="60" xfId="0" applyFont="1" applyBorder="1"/>
    <xf numFmtId="0" fontId="12" fillId="0" borderId="9" xfId="0" applyFont="1" applyBorder="1"/>
    <xf numFmtId="0" fontId="12" fillId="0" borderId="41" xfId="0" applyFont="1" applyBorder="1"/>
    <xf numFmtId="0" fontId="12" fillId="0" borderId="16" xfId="0" applyFont="1" applyBorder="1"/>
    <xf numFmtId="164" fontId="12" fillId="0" borderId="0" xfId="0" applyNumberFormat="1" applyFont="1"/>
    <xf numFmtId="0" fontId="12" fillId="0" borderId="15" xfId="0" applyFont="1" applyBorder="1"/>
    <xf numFmtId="0" fontId="13" fillId="0" borderId="26" xfId="2" applyFont="1" applyFill="1" applyBorder="1" applyAlignment="1">
      <alignment vertical="center"/>
    </xf>
    <xf numFmtId="0" fontId="13" fillId="0" borderId="29" xfId="2" applyFont="1" applyFill="1" applyBorder="1" applyAlignment="1">
      <alignment vertical="center"/>
    </xf>
    <xf numFmtId="0" fontId="12" fillId="0" borderId="42" xfId="0" applyFont="1" applyBorder="1"/>
    <xf numFmtId="0" fontId="12" fillId="0" borderId="0" xfId="2" applyFont="1" applyBorder="1" applyAlignment="1">
      <alignment horizontal="center" vertical="center"/>
    </xf>
    <xf numFmtId="0" fontId="12" fillId="0" borderId="57" xfId="0" applyFont="1" applyBorder="1"/>
    <xf numFmtId="0" fontId="12" fillId="0" borderId="14" xfId="0" applyFont="1" applyBorder="1" applyAlignment="1"/>
    <xf numFmtId="0" fontId="12" fillId="0" borderId="13" xfId="0" applyFont="1" applyBorder="1" applyAlignment="1"/>
    <xf numFmtId="0" fontId="12" fillId="0" borderId="51" xfId="0" applyFont="1" applyBorder="1" applyAlignment="1"/>
    <xf numFmtId="0" fontId="12" fillId="0" borderId="4" xfId="0" applyFont="1" applyBorder="1" applyAlignment="1"/>
    <xf numFmtId="0" fontId="13" fillId="0" borderId="4" xfId="2" applyFont="1" applyFill="1" applyBorder="1" applyAlignment="1">
      <alignment horizontal="left" vertical="center"/>
    </xf>
    <xf numFmtId="0" fontId="13" fillId="2" borderId="8" xfId="2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vertical="center"/>
    </xf>
    <xf numFmtId="0" fontId="12" fillId="0" borderId="11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11" xfId="2" applyFont="1" applyBorder="1" applyAlignment="1">
      <alignment horizontal="left" vertical="center"/>
    </xf>
    <xf numFmtId="0" fontId="12" fillId="0" borderId="0" xfId="0" applyFont="1" applyAlignment="1">
      <alignment wrapText="1"/>
    </xf>
    <xf numFmtId="0" fontId="12" fillId="0" borderId="39" xfId="0" applyFont="1" applyBorder="1"/>
    <xf numFmtId="49" fontId="12" fillId="0" borderId="7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2" applyFont="1" applyFill="1" applyBorder="1" applyAlignment="1">
      <alignment vertical="center"/>
    </xf>
    <xf numFmtId="0" fontId="12" fillId="0" borderId="61" xfId="0" applyFont="1" applyBorder="1"/>
    <xf numFmtId="0" fontId="13" fillId="0" borderId="4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12" fillId="0" borderId="0" xfId="0" applyFont="1"/>
    <xf numFmtId="0" fontId="13" fillId="2" borderId="21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2" fillId="3" borderId="11" xfId="0" applyFont="1" applyFill="1" applyBorder="1" applyAlignment="1">
      <alignment horizontal="right"/>
    </xf>
    <xf numFmtId="0" fontId="12" fillId="0" borderId="68" xfId="0" applyNumberFormat="1" applyFont="1" applyBorder="1"/>
    <xf numFmtId="0" fontId="12" fillId="0" borderId="32" xfId="0" applyNumberFormat="1" applyFont="1" applyBorder="1"/>
    <xf numFmtId="0" fontId="12" fillId="0" borderId="31" xfId="0" applyNumberFormat="1" applyFont="1" applyBorder="1"/>
    <xf numFmtId="0" fontId="12" fillId="0" borderId="30" xfId="0" applyNumberFormat="1" applyFont="1" applyBorder="1"/>
    <xf numFmtId="0" fontId="12" fillId="0" borderId="26" xfId="0" applyNumberFormat="1" applyFont="1" applyBorder="1"/>
    <xf numFmtId="0" fontId="12" fillId="0" borderId="28" xfId="0" applyNumberFormat="1" applyFont="1" applyBorder="1"/>
    <xf numFmtId="0" fontId="12" fillId="0" borderId="29" xfId="0" applyNumberFormat="1" applyFont="1" applyBorder="1"/>
    <xf numFmtId="0" fontId="12" fillId="0" borderId="27" xfId="0" applyNumberFormat="1" applyFont="1" applyBorder="1"/>
    <xf numFmtId="0" fontId="12" fillId="0" borderId="34" xfId="0" applyNumberFormat="1" applyFont="1" applyBorder="1"/>
    <xf numFmtId="0" fontId="12" fillId="0" borderId="36" xfId="0" applyNumberFormat="1" applyFont="1" applyBorder="1"/>
    <xf numFmtId="0" fontId="12" fillId="0" borderId="38" xfId="0" applyNumberFormat="1" applyFont="1" applyBorder="1"/>
    <xf numFmtId="0" fontId="12" fillId="0" borderId="35" xfId="0" applyNumberFormat="1" applyFont="1" applyBorder="1"/>
    <xf numFmtId="0" fontId="12" fillId="3" borderId="39" xfId="0" applyNumberFormat="1" applyFont="1" applyFill="1" applyBorder="1"/>
    <xf numFmtId="0" fontId="12" fillId="3" borderId="41" xfId="0" applyNumberFormat="1" applyFont="1" applyFill="1" applyBorder="1"/>
    <xf numFmtId="0" fontId="12" fillId="3" borderId="40" xfId="0" applyNumberFormat="1" applyFont="1" applyFill="1" applyBorder="1"/>
    <xf numFmtId="0" fontId="12" fillId="3" borderId="53" xfId="0" applyNumberFormat="1" applyFont="1" applyFill="1" applyBorder="1"/>
    <xf numFmtId="0" fontId="12" fillId="0" borderId="22" xfId="0" applyNumberFormat="1" applyFont="1" applyBorder="1"/>
    <xf numFmtId="0" fontId="12" fillId="0" borderId="23" xfId="0" applyNumberFormat="1" applyFont="1" applyBorder="1"/>
    <xf numFmtId="0" fontId="12" fillId="0" borderId="25" xfId="0" applyNumberFormat="1" applyFont="1" applyBorder="1"/>
    <xf numFmtId="0" fontId="12" fillId="0" borderId="46" xfId="0" applyNumberFormat="1" applyFont="1" applyBorder="1"/>
    <xf numFmtId="0" fontId="12" fillId="0" borderId="40" xfId="0" applyNumberFormat="1" applyFont="1" applyBorder="1"/>
    <xf numFmtId="0" fontId="12" fillId="0" borderId="57" xfId="0" applyFont="1" applyBorder="1" applyAlignment="1"/>
    <xf numFmtId="0" fontId="12" fillId="0" borderId="58" xfId="0" applyFont="1" applyBorder="1" applyAlignment="1"/>
    <xf numFmtId="0" fontId="12" fillId="0" borderId="0" xfId="0" applyFont="1"/>
    <xf numFmtId="0" fontId="13" fillId="2" borderId="19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2" fillId="0" borderId="13" xfId="2" applyFont="1" applyBorder="1" applyAlignment="1">
      <alignment horizontal="left" vertical="center"/>
    </xf>
    <xf numFmtId="164" fontId="12" fillId="0" borderId="43" xfId="0" applyNumberFormat="1" applyFont="1" applyBorder="1"/>
    <xf numFmtId="0" fontId="9" fillId="0" borderId="14" xfId="2" applyFont="1" applyBorder="1" applyAlignment="1">
      <alignment vertical="center"/>
    </xf>
    <xf numFmtId="0" fontId="12" fillId="0" borderId="53" xfId="0" applyFont="1" applyBorder="1"/>
    <xf numFmtId="0" fontId="12" fillId="0" borderId="70" xfId="0" applyFont="1" applyBorder="1"/>
    <xf numFmtId="0" fontId="12" fillId="0" borderId="67" xfId="0" applyFont="1" applyBorder="1"/>
    <xf numFmtId="0" fontId="13" fillId="0" borderId="0" xfId="0" applyFont="1" applyFill="1"/>
    <xf numFmtId="0" fontId="11" fillId="5" borderId="0" xfId="0" applyFont="1" applyFill="1" applyBorder="1"/>
    <xf numFmtId="0" fontId="12" fillId="5" borderId="0" xfId="0" applyFont="1" applyFill="1" applyBorder="1"/>
    <xf numFmtId="0" fontId="9" fillId="5" borderId="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 textRotation="90" wrapText="1"/>
    </xf>
    <xf numFmtId="0" fontId="13" fillId="5" borderId="0" xfId="2" applyFont="1" applyFill="1" applyBorder="1" applyAlignment="1">
      <alignment vertical="center"/>
    </xf>
    <xf numFmtId="0" fontId="11" fillId="5" borderId="0" xfId="0" applyFont="1" applyFill="1"/>
    <xf numFmtId="0" fontId="12" fillId="0" borderId="48" xfId="2" applyFont="1" applyFill="1" applyBorder="1" applyAlignment="1">
      <alignment horizontal="left" vertical="center"/>
    </xf>
    <xf numFmtId="0" fontId="12" fillId="0" borderId="0" xfId="0" applyFont="1"/>
    <xf numFmtId="0" fontId="13" fillId="5" borderId="0" xfId="0" applyFont="1" applyFill="1"/>
    <xf numFmtId="0" fontId="13" fillId="5" borderId="0" xfId="2" applyFont="1" applyFill="1" applyAlignment="1">
      <alignment vertical="center"/>
    </xf>
    <xf numFmtId="0" fontId="13" fillId="5" borderId="0" xfId="0" applyFont="1" applyFill="1" applyBorder="1"/>
    <xf numFmtId="0" fontId="12" fillId="5" borderId="0" xfId="0" applyFont="1" applyFill="1"/>
    <xf numFmtId="0" fontId="11" fillId="4" borderId="0" xfId="0" applyFont="1" applyFill="1" applyAlignment="1">
      <alignment vertical="center"/>
    </xf>
    <xf numFmtId="0" fontId="18" fillId="4" borderId="0" xfId="0" applyFont="1" applyFill="1" applyAlignment="1">
      <alignment vertical="center" wrapText="1"/>
    </xf>
    <xf numFmtId="0" fontId="18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/>
    <xf numFmtId="0" fontId="13" fillId="0" borderId="0" xfId="2" applyFont="1" applyFill="1" applyAlignment="1">
      <alignment vertical="center"/>
    </xf>
    <xf numFmtId="0" fontId="13" fillId="0" borderId="0" xfId="0" applyFont="1" applyFill="1" applyAlignment="1"/>
    <xf numFmtId="0" fontId="11" fillId="0" borderId="0" xfId="0" applyFont="1" applyFill="1"/>
    <xf numFmtId="0" fontId="11" fillId="0" borderId="0" xfId="2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49" fontId="11" fillId="0" borderId="0" xfId="3" applyFont="1" applyFill="1" applyAlignment="1">
      <alignment vertical="center"/>
    </xf>
    <xf numFmtId="49" fontId="11" fillId="0" borderId="0" xfId="3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2" applyFont="1" applyFill="1" applyAlignment="1">
      <alignment vertical="center"/>
    </xf>
    <xf numFmtId="0" fontId="5" fillId="0" borderId="26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20" fillId="0" borderId="0" xfId="0" applyFont="1" applyFill="1"/>
    <xf numFmtId="0" fontId="20" fillId="0" borderId="0" xfId="0" applyFont="1" applyFill="1" applyAlignment="1"/>
    <xf numFmtId="0" fontId="20" fillId="0" borderId="0" xfId="2" applyFont="1" applyFill="1" applyAlignment="1">
      <alignment vertical="center"/>
    </xf>
    <xf numFmtId="0" fontId="19" fillId="0" borderId="0" xfId="0" applyFont="1" applyFill="1"/>
    <xf numFmtId="0" fontId="19" fillId="0" borderId="0" xfId="0" applyFont="1"/>
    <xf numFmtId="0" fontId="20" fillId="0" borderId="0" xfId="0" applyFont="1"/>
    <xf numFmtId="0" fontId="19" fillId="0" borderId="5" xfId="0" applyFont="1" applyBorder="1"/>
    <xf numFmtId="0" fontId="19" fillId="0" borderId="0" xfId="0" applyFont="1" applyFill="1" applyAlignment="1">
      <alignment horizontal="centerContinuous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49" fontId="20" fillId="0" borderId="0" xfId="3" applyFont="1" applyBorder="1" applyAlignment="1">
      <alignment horizontal="left" vertical="center"/>
    </xf>
    <xf numFmtId="3" fontId="19" fillId="0" borderId="0" xfId="3" applyNumberFormat="1" applyFont="1" applyBorder="1" applyAlignment="1">
      <alignment vertical="center"/>
    </xf>
    <xf numFmtId="3" fontId="19" fillId="0" borderId="0" xfId="3" applyNumberFormat="1" applyFont="1" applyAlignment="1">
      <alignment vertical="center"/>
    </xf>
    <xf numFmtId="3" fontId="19" fillId="0" borderId="0" xfId="3" applyNumberFormat="1" applyFont="1" applyAlignment="1">
      <alignment horizontal="right" vertical="center"/>
    </xf>
    <xf numFmtId="3" fontId="19" fillId="0" borderId="14" xfId="0" applyNumberFormat="1" applyFont="1" applyBorder="1"/>
    <xf numFmtId="3" fontId="19" fillId="0" borderId="0" xfId="0" applyNumberFormat="1" applyFont="1" applyBorder="1"/>
    <xf numFmtId="3" fontId="19" fillId="0" borderId="4" xfId="0" applyNumberFormat="1" applyFont="1" applyBorder="1"/>
    <xf numFmtId="3" fontId="19" fillId="0" borderId="0" xfId="0" applyNumberFormat="1" applyFont="1" applyBorder="1" applyAlignment="1"/>
    <xf numFmtId="3" fontId="19" fillId="0" borderId="14" xfId="0" applyNumberFormat="1" applyFont="1" applyBorder="1" applyAlignment="1"/>
    <xf numFmtId="0" fontId="19" fillId="0" borderId="11" xfId="0" applyFont="1" applyBorder="1"/>
    <xf numFmtId="0" fontId="20" fillId="0" borderId="0" xfId="0" applyFont="1" applyAlignment="1">
      <alignment horizontal="center" vertical="center" textRotation="90"/>
    </xf>
    <xf numFmtId="0" fontId="20" fillId="0" borderId="14" xfId="0" applyFont="1" applyBorder="1" applyAlignment="1"/>
    <xf numFmtId="0" fontId="20" fillId="0" borderId="0" xfId="0" applyFont="1" applyFill="1" applyAlignment="1">
      <alignment horizontal="center" vertical="center" wrapText="1"/>
    </xf>
    <xf numFmtId="0" fontId="19" fillId="0" borderId="14" xfId="0" applyFont="1" applyBorder="1"/>
    <xf numFmtId="0" fontId="19" fillId="0" borderId="0" xfId="0" applyFont="1" applyBorder="1"/>
    <xf numFmtId="0" fontId="19" fillId="0" borderId="4" xfId="0" applyFont="1" applyBorder="1"/>
    <xf numFmtId="49" fontId="20" fillId="0" borderId="19" xfId="3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2" fillId="0" borderId="44" xfId="0" applyFont="1" applyBorder="1"/>
    <xf numFmtId="0" fontId="12" fillId="0" borderId="17" xfId="0" applyFont="1" applyBorder="1"/>
    <xf numFmtId="0" fontId="12" fillId="0" borderId="43" xfId="0" applyFont="1" applyBorder="1"/>
    <xf numFmtId="0" fontId="6" fillId="0" borderId="0" xfId="0" applyFont="1" applyAlignment="1">
      <alignment horizontal="center" vertical="center"/>
    </xf>
    <xf numFmtId="0" fontId="0" fillId="0" borderId="28" xfId="0" applyBorder="1"/>
    <xf numFmtId="0" fontId="4" fillId="0" borderId="28" xfId="0" applyFont="1" applyFill="1" applyBorder="1" applyAlignment="1">
      <alignment horizontal="left" indent="2"/>
    </xf>
    <xf numFmtId="0" fontId="4" fillId="0" borderId="28" xfId="0" applyFont="1" applyFill="1" applyBorder="1"/>
    <xf numFmtId="0" fontId="4" fillId="0" borderId="0" xfId="0" applyFont="1" applyFill="1"/>
    <xf numFmtId="0" fontId="6" fillId="6" borderId="28" xfId="0" applyFont="1" applyFill="1" applyBorder="1"/>
    <xf numFmtId="0" fontId="4" fillId="0" borderId="0" xfId="0" applyFont="1" applyFill="1" applyBorder="1"/>
    <xf numFmtId="0" fontId="6" fillId="6" borderId="28" xfId="0" applyFont="1" applyFill="1" applyBorder="1" applyAlignment="1">
      <alignment horizontal="right" vertical="center"/>
    </xf>
    <xf numFmtId="0" fontId="6" fillId="6" borderId="2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6" borderId="28" xfId="0" applyFont="1" applyFill="1" applyBorder="1" applyAlignment="1">
      <alignment horizontal="right" vertical="center" indent="2"/>
    </xf>
    <xf numFmtId="0" fontId="19" fillId="0" borderId="0" xfId="0" applyFont="1"/>
    <xf numFmtId="0" fontId="6" fillId="7" borderId="2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 textRotation="90" wrapText="1"/>
    </xf>
    <xf numFmtId="0" fontId="20" fillId="7" borderId="5" xfId="0" applyFont="1" applyFill="1" applyBorder="1" applyAlignment="1">
      <alignment horizontal="center" vertical="center" textRotation="90" wrapText="1"/>
    </xf>
    <xf numFmtId="0" fontId="20" fillId="7" borderId="20" xfId="0" applyFont="1" applyFill="1" applyBorder="1" applyAlignment="1">
      <alignment horizontal="center" vertical="center" textRotation="90" wrapText="1"/>
    </xf>
    <xf numFmtId="49" fontId="17" fillId="7" borderId="39" xfId="3" applyFont="1" applyFill="1" applyBorder="1" applyAlignment="1">
      <alignment horizontal="center" textRotation="90" wrapText="1"/>
    </xf>
    <xf numFmtId="49" fontId="17" fillId="7" borderId="41" xfId="3" applyFont="1" applyFill="1" applyBorder="1" applyAlignment="1">
      <alignment horizontal="center" textRotation="90" wrapText="1"/>
    </xf>
    <xf numFmtId="49" fontId="17" fillId="7" borderId="40" xfId="3" applyFont="1" applyFill="1" applyBorder="1" applyAlignment="1">
      <alignment horizontal="center" textRotation="90" wrapText="1"/>
    </xf>
    <xf numFmtId="49" fontId="17" fillId="7" borderId="53" xfId="3" applyFont="1" applyFill="1" applyBorder="1" applyAlignment="1">
      <alignment horizontal="center" textRotation="90" wrapText="1"/>
    </xf>
    <xf numFmtId="49" fontId="15" fillId="7" borderId="41" xfId="3" applyFont="1" applyFill="1" applyBorder="1" applyAlignment="1">
      <alignment horizontal="center" textRotation="90" wrapText="1"/>
    </xf>
    <xf numFmtId="49" fontId="13" fillId="7" borderId="40" xfId="3" applyFont="1" applyFill="1" applyBorder="1" applyAlignment="1">
      <alignment horizontal="center" textRotation="90" wrapText="1"/>
    </xf>
    <xf numFmtId="0" fontId="9" fillId="7" borderId="66" xfId="2" applyFont="1" applyFill="1" applyBorder="1" applyAlignment="1">
      <alignment horizontal="center" vertical="center"/>
    </xf>
    <xf numFmtId="0" fontId="9" fillId="7" borderId="48" xfId="2" applyFont="1" applyFill="1" applyBorder="1" applyAlignment="1">
      <alignment horizontal="center" vertical="center" wrapText="1"/>
    </xf>
    <xf numFmtId="0" fontId="5" fillId="7" borderId="27" xfId="2" applyFont="1" applyFill="1" applyBorder="1" applyAlignment="1">
      <alignment horizontal="center" vertical="center" textRotation="90" wrapText="1"/>
    </xf>
    <xf numFmtId="0" fontId="5" fillId="7" borderId="28" xfId="2" applyFont="1" applyFill="1" applyBorder="1" applyAlignment="1">
      <alignment horizontal="center" vertical="center" textRotation="90" wrapText="1"/>
    </xf>
    <xf numFmtId="0" fontId="9" fillId="7" borderId="28" xfId="2" applyFont="1" applyFill="1" applyBorder="1" applyAlignment="1">
      <alignment horizontal="center" vertical="center" textRotation="90" wrapText="1"/>
    </xf>
    <xf numFmtId="0" fontId="9" fillId="7" borderId="1" xfId="2" applyFont="1" applyFill="1" applyBorder="1" applyAlignment="1">
      <alignment horizontal="center" vertical="center" textRotation="90" wrapText="1"/>
    </xf>
    <xf numFmtId="0" fontId="9" fillId="7" borderId="29" xfId="2" applyFont="1" applyFill="1" applyBorder="1" applyAlignment="1">
      <alignment horizontal="center" vertical="center" textRotation="90" wrapText="1"/>
    </xf>
    <xf numFmtId="0" fontId="13" fillId="7" borderId="12" xfId="2" applyFont="1" applyFill="1" applyBorder="1" applyAlignment="1">
      <alignment horizontal="center" vertical="center"/>
    </xf>
    <xf numFmtId="0" fontId="13" fillId="7" borderId="12" xfId="2" applyFont="1" applyFill="1" applyBorder="1" applyAlignment="1">
      <alignment horizontal="center" vertical="center" wrapText="1"/>
    </xf>
    <xf numFmtId="0" fontId="13" fillId="7" borderId="21" xfId="2" applyFont="1" applyFill="1" applyBorder="1" applyAlignment="1">
      <alignment horizontal="center" vertical="center" wrapText="1"/>
    </xf>
    <xf numFmtId="0" fontId="13" fillId="7" borderId="62" xfId="2" applyFont="1" applyFill="1" applyBorder="1" applyAlignment="1">
      <alignment horizontal="center" vertical="center" wrapText="1"/>
    </xf>
    <xf numFmtId="0" fontId="13" fillId="7" borderId="31" xfId="2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textRotation="90" wrapText="1"/>
    </xf>
    <xf numFmtId="0" fontId="13" fillId="7" borderId="13" xfId="0" applyFont="1" applyFill="1" applyBorder="1" applyAlignment="1">
      <alignment horizontal="center" vertical="center" textRotation="90" wrapText="1"/>
    </xf>
    <xf numFmtId="0" fontId="13" fillId="7" borderId="51" xfId="0" applyFont="1" applyFill="1" applyBorder="1" applyAlignment="1">
      <alignment horizontal="center" vertical="center" textRotation="90" wrapText="1"/>
    </xf>
    <xf numFmtId="0" fontId="13" fillId="7" borderId="56" xfId="0" applyFont="1" applyFill="1" applyBorder="1" applyAlignment="1">
      <alignment horizontal="center" vertical="center" textRotation="90" wrapText="1"/>
    </xf>
    <xf numFmtId="0" fontId="13" fillId="7" borderId="61" xfId="0" applyFont="1" applyFill="1" applyBorder="1" applyAlignment="1">
      <alignment horizontal="center" vertical="center" textRotation="90" wrapText="1"/>
    </xf>
    <xf numFmtId="0" fontId="13" fillId="7" borderId="21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11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52" xfId="0" applyFont="1" applyFill="1" applyBorder="1" applyAlignment="1">
      <alignment horizontal="center"/>
    </xf>
    <xf numFmtId="0" fontId="13" fillId="7" borderId="52" xfId="0" quotePrefix="1" applyFont="1" applyFill="1" applyBorder="1" applyAlignment="1">
      <alignment horizontal="center"/>
    </xf>
    <xf numFmtId="0" fontId="13" fillId="7" borderId="59" xfId="0" quotePrefix="1" applyFont="1" applyFill="1" applyBorder="1" applyAlignment="1">
      <alignment horizontal="center"/>
    </xf>
    <xf numFmtId="0" fontId="13" fillId="7" borderId="9" xfId="0" quotePrefix="1" applyFont="1" applyFill="1" applyBorder="1" applyAlignment="1">
      <alignment horizontal="center"/>
    </xf>
    <xf numFmtId="0" fontId="13" fillId="7" borderId="8" xfId="0" quotePrefix="1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13" fillId="7" borderId="5" xfId="2" applyFont="1" applyFill="1" applyBorder="1" applyAlignment="1">
      <alignment horizontal="center" vertical="center"/>
    </xf>
    <xf numFmtId="0" fontId="13" fillId="7" borderId="18" xfId="2" applyFont="1" applyFill="1" applyBorder="1" applyAlignment="1">
      <alignment horizontal="center" vertical="center" wrapText="1"/>
    </xf>
    <xf numFmtId="0" fontId="13" fillId="7" borderId="19" xfId="2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center" vertical="center" wrapText="1"/>
    </xf>
    <xf numFmtId="15" fontId="13" fillId="7" borderId="12" xfId="2" applyNumberFormat="1" applyFont="1" applyFill="1" applyBorder="1" applyAlignment="1">
      <alignment horizontal="center" vertical="center"/>
    </xf>
    <xf numFmtId="0" fontId="13" fillId="7" borderId="8" xfId="2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164" fontId="13" fillId="7" borderId="43" xfId="0" applyNumberFormat="1" applyFont="1" applyFill="1" applyBorder="1" applyAlignment="1">
      <alignment horizontal="center" textRotation="90" wrapText="1"/>
    </xf>
    <xf numFmtId="164" fontId="13" fillId="7" borderId="16" xfId="0" applyNumberFormat="1" applyFont="1" applyFill="1" applyBorder="1" applyAlignment="1">
      <alignment horizontal="center" textRotation="90" wrapText="1"/>
    </xf>
    <xf numFmtId="164" fontId="13" fillId="7" borderId="44" xfId="0" applyNumberFormat="1" applyFont="1" applyFill="1" applyBorder="1" applyAlignment="1">
      <alignment horizontal="center" textRotation="90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164" fontId="13" fillId="7" borderId="16" xfId="0" applyNumberFormat="1" applyFont="1" applyFill="1" applyBorder="1" applyAlignment="1">
      <alignment horizontal="center" vertical="center" textRotation="90" wrapText="1"/>
    </xf>
    <xf numFmtId="164" fontId="13" fillId="7" borderId="44" xfId="0" applyNumberFormat="1" applyFont="1" applyFill="1" applyBorder="1" applyAlignment="1">
      <alignment horizontal="center" vertical="center" textRotation="90" wrapText="1"/>
    </xf>
    <xf numFmtId="0" fontId="13" fillId="7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5" fillId="0" borderId="0" xfId="0" applyFont="1" applyFill="1"/>
    <xf numFmtId="49" fontId="21" fillId="7" borderId="43" xfId="3" applyFont="1" applyFill="1" applyBorder="1" applyAlignment="1">
      <alignment horizontal="center" textRotation="90" wrapText="1"/>
    </xf>
    <xf numFmtId="49" fontId="21" fillId="7" borderId="16" xfId="3" applyFont="1" applyFill="1" applyBorder="1" applyAlignment="1">
      <alignment horizontal="center" textRotation="90" wrapText="1"/>
    </xf>
    <xf numFmtId="49" fontId="21" fillId="7" borderId="17" xfId="3" applyFont="1" applyFill="1" applyBorder="1" applyAlignment="1">
      <alignment horizontal="center" textRotation="90" wrapText="1"/>
    </xf>
    <xf numFmtId="49" fontId="9" fillId="7" borderId="43" xfId="3" applyNumberFormat="1" applyFont="1" applyFill="1" applyBorder="1" applyAlignment="1" applyProtection="1">
      <alignment horizontal="center" textRotation="90" wrapText="1"/>
    </xf>
    <xf numFmtId="49" fontId="9" fillId="7" borderId="44" xfId="3" applyFont="1" applyFill="1" applyBorder="1" applyAlignment="1">
      <alignment horizontal="center" textRotation="90" wrapText="1"/>
    </xf>
    <xf numFmtId="49" fontId="5" fillId="0" borderId="65" xfId="3" applyFont="1" applyBorder="1" applyAlignment="1">
      <alignment vertical="center"/>
    </xf>
    <xf numFmtId="4" fontId="9" fillId="0" borderId="22" xfId="3" applyNumberFormat="1" applyFont="1" applyBorder="1" applyAlignment="1">
      <alignment vertical="center"/>
    </xf>
    <xf numFmtId="4" fontId="9" fillId="0" borderId="24" xfId="3" applyNumberFormat="1" applyFont="1" applyBorder="1" applyAlignment="1">
      <alignment vertical="center"/>
    </xf>
    <xf numFmtId="4" fontId="9" fillId="0" borderId="25" xfId="3" applyNumberFormat="1" applyFont="1" applyBorder="1" applyAlignment="1">
      <alignment vertical="center"/>
    </xf>
    <xf numFmtId="49" fontId="5" fillId="0" borderId="2" xfId="3" applyFont="1" applyBorder="1" applyAlignment="1">
      <alignment vertical="center"/>
    </xf>
    <xf numFmtId="4" fontId="9" fillId="0" borderId="26" xfId="3" applyNumberFormat="1" applyFont="1" applyBorder="1" applyAlignment="1">
      <alignment vertical="center"/>
    </xf>
    <xf numFmtId="4" fontId="9" fillId="0" borderId="1" xfId="3" applyNumberFormat="1" applyFont="1" applyBorder="1" applyAlignment="1">
      <alignment vertical="center"/>
    </xf>
    <xf numFmtId="4" fontId="9" fillId="0" borderId="29" xfId="3" applyNumberFormat="1" applyFont="1" applyBorder="1" applyAlignment="1">
      <alignment vertical="center"/>
    </xf>
    <xf numFmtId="4" fontId="5" fillId="0" borderId="26" xfId="3" applyNumberFormat="1" applyFont="1" applyBorder="1" applyAlignment="1">
      <alignment horizontal="justify" vertical="center"/>
    </xf>
    <xf numFmtId="4" fontId="5" fillId="0" borderId="1" xfId="3" applyNumberFormat="1" applyFont="1" applyBorder="1" applyAlignment="1">
      <alignment horizontal="right" vertical="center"/>
    </xf>
    <xf numFmtId="4" fontId="5" fillId="0" borderId="29" xfId="3" applyNumberFormat="1" applyFont="1" applyBorder="1" applyAlignment="1">
      <alignment horizontal="right" vertical="center"/>
    </xf>
    <xf numFmtId="4" fontId="5" fillId="0" borderId="26" xfId="3" applyNumberFormat="1" applyFont="1" applyBorder="1" applyAlignment="1">
      <alignment vertical="center"/>
    </xf>
    <xf numFmtId="4" fontId="5" fillId="0" borderId="1" xfId="3" applyNumberFormat="1" applyFont="1" applyBorder="1" applyAlignment="1">
      <alignment vertical="center"/>
    </xf>
    <xf numFmtId="4" fontId="5" fillId="0" borderId="29" xfId="3" applyNumberFormat="1" applyFont="1" applyBorder="1" applyAlignment="1">
      <alignment vertical="center"/>
    </xf>
    <xf numFmtId="49" fontId="5" fillId="0" borderId="64" xfId="3" applyFont="1" applyBorder="1" applyAlignment="1">
      <alignment vertical="center"/>
    </xf>
    <xf numFmtId="4" fontId="9" fillId="0" borderId="34" xfId="3" applyNumberFormat="1" applyFont="1" applyBorder="1" applyAlignment="1">
      <alignment vertical="center"/>
    </xf>
    <xf numFmtId="4" fontId="9" fillId="0" borderId="37" xfId="3" applyNumberFormat="1" applyFont="1" applyBorder="1" applyAlignment="1">
      <alignment vertical="center"/>
    </xf>
    <xf numFmtId="4" fontId="9" fillId="0" borderId="38" xfId="3" applyNumberFormat="1" applyFont="1" applyBorder="1" applyAlignment="1">
      <alignment vertical="center"/>
    </xf>
    <xf numFmtId="49" fontId="9" fillId="2" borderId="19" xfId="3" applyFont="1" applyFill="1" applyBorder="1" applyAlignment="1">
      <alignment horizontal="center" vertical="center"/>
    </xf>
    <xf numFmtId="4" fontId="9" fillId="2" borderId="43" xfId="3" applyNumberFormat="1" applyFont="1" applyFill="1" applyBorder="1" applyAlignment="1">
      <alignment horizontal="right" vertical="center"/>
    </xf>
    <xf numFmtId="4" fontId="9" fillId="2" borderId="16" xfId="3" applyNumberFormat="1" applyFont="1" applyFill="1" applyBorder="1" applyAlignment="1">
      <alignment horizontal="right" vertical="center"/>
    </xf>
    <xf numFmtId="0" fontId="9" fillId="0" borderId="0" xfId="0" applyFont="1" applyFill="1" applyAlignment="1"/>
    <xf numFmtId="0" fontId="9" fillId="0" borderId="0" xfId="0" quotePrefix="1" applyFont="1" applyFill="1" applyAlignment="1"/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16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18" xfId="0" applyFont="1" applyFill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wrapText="1"/>
    </xf>
    <xf numFmtId="0" fontId="9" fillId="0" borderId="6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3" fontId="9" fillId="0" borderId="58" xfId="0" applyNumberFormat="1" applyFont="1" applyBorder="1"/>
    <xf numFmtId="3" fontId="9" fillId="0" borderId="51" xfId="0" applyNumberFormat="1" applyFont="1" applyBorder="1"/>
    <xf numFmtId="3" fontId="9" fillId="0" borderId="13" xfId="0" applyNumberFormat="1" applyFont="1" applyBorder="1"/>
    <xf numFmtId="3" fontId="9" fillId="0" borderId="4" xfId="0" applyNumberFormat="1" applyFont="1" applyBorder="1"/>
    <xf numFmtId="0" fontId="5" fillId="0" borderId="14" xfId="0" applyFont="1" applyFill="1" applyBorder="1" applyAlignment="1">
      <alignment wrapText="1"/>
    </xf>
    <xf numFmtId="3" fontId="5" fillId="0" borderId="58" xfId="0" applyNumberFormat="1" applyFont="1" applyBorder="1"/>
    <xf numFmtId="3" fontId="5" fillId="0" borderId="51" xfId="0" applyNumberFormat="1" applyFont="1" applyBorder="1"/>
    <xf numFmtId="3" fontId="5" fillId="0" borderId="13" xfId="0" applyNumberFormat="1" applyFont="1" applyBorder="1"/>
    <xf numFmtId="3" fontId="5" fillId="0" borderId="4" xfId="0" applyNumberFormat="1" applyFont="1" applyBorder="1"/>
    <xf numFmtId="0" fontId="9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14" xfId="0" quotePrefix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9" fillId="0" borderId="47" xfId="0" applyFont="1" applyFill="1" applyBorder="1" applyAlignment="1">
      <alignment horizontal="center" wrapText="1"/>
    </xf>
    <xf numFmtId="3" fontId="9" fillId="0" borderId="72" xfId="0" applyNumberFormat="1" applyFont="1" applyFill="1" applyBorder="1"/>
    <xf numFmtId="3" fontId="9" fillId="0" borderId="73" xfId="0" applyNumberFormat="1" applyFont="1" applyFill="1" applyBorder="1"/>
    <xf numFmtId="3" fontId="9" fillId="0" borderId="74" xfId="0" applyNumberFormat="1" applyFont="1" applyFill="1" applyBorder="1"/>
    <xf numFmtId="3" fontId="9" fillId="0" borderId="71" xfId="0" applyNumberFormat="1" applyFont="1" applyFill="1" applyBorder="1"/>
    <xf numFmtId="0" fontId="9" fillId="0" borderId="5" xfId="0" applyFont="1" applyFill="1" applyBorder="1" applyAlignment="1">
      <alignment horizontal="center" wrapText="1"/>
    </xf>
    <xf numFmtId="3" fontId="9" fillId="0" borderId="43" xfId="0" applyNumberFormat="1" applyFont="1" applyFill="1" applyBorder="1"/>
    <xf numFmtId="3" fontId="9" fillId="0" borderId="20" xfId="0" applyNumberFormat="1" applyFont="1" applyFill="1" applyBorder="1"/>
    <xf numFmtId="3" fontId="9" fillId="0" borderId="15" xfId="0" applyNumberFormat="1" applyFont="1" applyFill="1" applyBorder="1"/>
    <xf numFmtId="3" fontId="9" fillId="0" borderId="18" xfId="0" applyNumberFormat="1" applyFont="1" applyFill="1" applyBorder="1"/>
    <xf numFmtId="3" fontId="9" fillId="0" borderId="75" xfId="0" applyNumberFormat="1" applyFont="1" applyFill="1" applyBorder="1"/>
    <xf numFmtId="3" fontId="5" fillId="0" borderId="61" xfId="0" applyNumberFormat="1" applyFont="1" applyFill="1" applyBorder="1"/>
    <xf numFmtId="3" fontId="5" fillId="0" borderId="49" xfId="0" applyNumberFormat="1" applyFont="1" applyFill="1" applyBorder="1"/>
    <xf numFmtId="3" fontId="5" fillId="0" borderId="55" xfId="0" applyNumberFormat="1" applyFont="1" applyFill="1" applyBorder="1"/>
    <xf numFmtId="3" fontId="5" fillId="0" borderId="54" xfId="0" applyNumberFormat="1" applyFont="1" applyFill="1" applyBorder="1"/>
    <xf numFmtId="3" fontId="5" fillId="0" borderId="21" xfId="0" applyNumberFormat="1" applyFont="1" applyFill="1" applyBorder="1"/>
    <xf numFmtId="3" fontId="9" fillId="0" borderId="44" xfId="0" applyNumberFormat="1" applyFont="1" applyFill="1" applyBorder="1"/>
    <xf numFmtId="3" fontId="9" fillId="0" borderId="76" xfId="0" applyNumberFormat="1" applyFont="1" applyFill="1" applyBorder="1"/>
    <xf numFmtId="3" fontId="5" fillId="0" borderId="50" xfId="0" applyNumberFormat="1" applyFont="1" applyFill="1" applyBorder="1"/>
    <xf numFmtId="3" fontId="9" fillId="0" borderId="16" xfId="0" applyNumberFormat="1" applyFont="1" applyFill="1" applyBorder="1"/>
    <xf numFmtId="0" fontId="6" fillId="0" borderId="0" xfId="2" applyFont="1" applyFill="1" applyAlignment="1">
      <alignment vertical="center"/>
    </xf>
    <xf numFmtId="0" fontId="6" fillId="5" borderId="0" xfId="0" applyFont="1" applyFill="1"/>
    <xf numFmtId="0" fontId="12" fillId="0" borderId="56" xfId="2" applyFont="1" applyBorder="1" applyAlignment="1">
      <alignment vertical="center"/>
    </xf>
    <xf numFmtId="0" fontId="13" fillId="0" borderId="51" xfId="2" applyFont="1" applyFill="1" applyBorder="1" applyAlignment="1">
      <alignment vertical="center"/>
    </xf>
    <xf numFmtId="0" fontId="12" fillId="0" borderId="51" xfId="2" applyFont="1" applyBorder="1" applyAlignment="1">
      <alignment vertical="center"/>
    </xf>
    <xf numFmtId="0" fontId="12" fillId="0" borderId="0" xfId="4" applyFont="1"/>
    <xf numFmtId="0" fontId="12" fillId="0" borderId="20" xfId="4" applyFont="1" applyBorder="1"/>
    <xf numFmtId="0" fontId="13" fillId="0" borderId="11" xfId="4" applyFont="1" applyBorder="1" applyAlignment="1">
      <alignment horizontal="center"/>
    </xf>
    <xf numFmtId="0" fontId="13" fillId="0" borderId="7" xfId="4" applyFont="1" applyBorder="1" applyAlignment="1">
      <alignment horizontal="center"/>
    </xf>
    <xf numFmtId="0" fontId="13" fillId="0" borderId="0" xfId="4" applyFont="1" applyFill="1" applyAlignment="1">
      <alignment horizontal="center"/>
    </xf>
    <xf numFmtId="0" fontId="13" fillId="8" borderId="18" xfId="4" applyFont="1" applyFill="1" applyBorder="1" applyAlignment="1">
      <alignment horizontal="center"/>
    </xf>
    <xf numFmtId="0" fontId="13" fillId="8" borderId="5" xfId="4" applyFont="1" applyFill="1" applyBorder="1" applyAlignment="1">
      <alignment horizontal="center" wrapText="1"/>
    </xf>
    <xf numFmtId="0" fontId="13" fillId="8" borderId="19" xfId="4" applyFont="1" applyFill="1" applyBorder="1" applyAlignment="1">
      <alignment horizontal="center"/>
    </xf>
    <xf numFmtId="0" fontId="13" fillId="8" borderId="5" xfId="4" applyFont="1" applyFill="1" applyBorder="1" applyAlignment="1">
      <alignment horizontal="center"/>
    </xf>
    <xf numFmtId="0" fontId="18" fillId="0" borderId="0" xfId="4" applyFont="1" applyFill="1"/>
    <xf numFmtId="0" fontId="11" fillId="0" borderId="0" xfId="4" applyFont="1" applyFill="1"/>
    <xf numFmtId="0" fontId="11" fillId="0" borderId="0" xfId="4" applyFont="1" applyFill="1" applyAlignment="1"/>
    <xf numFmtId="0" fontId="13" fillId="0" borderId="0" xfId="4" applyFont="1" applyFill="1" applyAlignment="1"/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78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13" fillId="7" borderId="12" xfId="2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indent="2"/>
    </xf>
    <xf numFmtId="3" fontId="23" fillId="9" borderId="28" xfId="0" applyNumberFormat="1" applyFont="1" applyFill="1" applyBorder="1" applyAlignment="1">
      <alignment horizontal="right"/>
    </xf>
    <xf numFmtId="3" fontId="23" fillId="9" borderId="28" xfId="0" applyNumberFormat="1" applyFont="1" applyFill="1" applyBorder="1" applyAlignment="1">
      <alignment horizontal="right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right" vertical="center"/>
    </xf>
    <xf numFmtId="3" fontId="23" fillId="9" borderId="1" xfId="0" applyNumberFormat="1" applyFont="1" applyFill="1" applyBorder="1" applyAlignment="1">
      <alignment horizontal="right"/>
    </xf>
    <xf numFmtId="3" fontId="23" fillId="9" borderId="1" xfId="0" applyNumberFormat="1" applyFont="1" applyFill="1" applyBorder="1" applyAlignment="1">
      <alignment horizontal="right" wrapText="1"/>
    </xf>
    <xf numFmtId="3" fontId="6" fillId="6" borderId="28" xfId="0" applyNumberFormat="1" applyFont="1" applyFill="1" applyBorder="1"/>
    <xf numFmtId="3" fontId="4" fillId="0" borderId="28" xfId="0" applyNumberFormat="1" applyFont="1" applyFill="1" applyBorder="1"/>
    <xf numFmtId="3" fontId="0" fillId="0" borderId="28" xfId="0" applyNumberFormat="1" applyBorder="1"/>
    <xf numFmtId="3" fontId="6" fillId="6" borderId="28" xfId="0" applyNumberFormat="1" applyFont="1" applyFill="1" applyBorder="1" applyAlignment="1">
      <alignment vertical="center"/>
    </xf>
    <xf numFmtId="3" fontId="6" fillId="6" borderId="1" xfId="0" applyNumberFormat="1" applyFont="1" applyFill="1" applyBorder="1"/>
    <xf numFmtId="3" fontId="6" fillId="6" borderId="24" xfId="0" applyNumberFormat="1" applyFont="1" applyFill="1" applyBorder="1" applyAlignment="1">
      <alignment vertical="center"/>
    </xf>
    <xf numFmtId="3" fontId="4" fillId="0" borderId="35" xfId="0" applyNumberFormat="1" applyFont="1" applyFill="1" applyBorder="1"/>
    <xf numFmtId="3" fontId="4" fillId="0" borderId="1" xfId="0" applyNumberFormat="1" applyFont="1" applyFill="1" applyBorder="1"/>
    <xf numFmtId="3" fontId="4" fillId="0" borderId="27" xfId="0" applyNumberFormat="1" applyFont="1" applyFill="1" applyBorder="1"/>
    <xf numFmtId="3" fontId="6" fillId="6" borderId="23" xfId="0" applyNumberFormat="1" applyFont="1" applyFill="1" applyBorder="1"/>
    <xf numFmtId="3" fontId="6" fillId="6" borderId="27" xfId="0" applyNumberFormat="1" applyFont="1" applyFill="1" applyBorder="1"/>
    <xf numFmtId="0" fontId="19" fillId="0" borderId="0" xfId="0" applyNumberFormat="1" applyFont="1"/>
    <xf numFmtId="3" fontId="19" fillId="0" borderId="5" xfId="0" applyNumberFormat="1" applyFont="1" applyBorder="1"/>
    <xf numFmtId="3" fontId="19" fillId="0" borderId="0" xfId="0" applyNumberFormat="1" applyFont="1"/>
    <xf numFmtId="2" fontId="19" fillId="0" borderId="14" xfId="0" applyNumberFormat="1" applyFont="1" applyBorder="1"/>
    <xf numFmtId="3" fontId="9" fillId="0" borderId="22" xfId="3" applyNumberFormat="1" applyFont="1" applyBorder="1" applyAlignment="1">
      <alignment vertical="center"/>
    </xf>
    <xf numFmtId="3" fontId="5" fillId="0" borderId="0" xfId="0" applyNumberFormat="1" applyFont="1"/>
    <xf numFmtId="3" fontId="9" fillId="0" borderId="23" xfId="3" applyNumberFormat="1" applyFont="1" applyBorder="1" applyAlignment="1">
      <alignment vertical="center"/>
    </xf>
    <xf numFmtId="3" fontId="9" fillId="0" borderId="24" xfId="3" applyNumberFormat="1" applyFont="1" applyBorder="1" applyAlignment="1">
      <alignment vertical="center"/>
    </xf>
    <xf numFmtId="3" fontId="9" fillId="0" borderId="26" xfId="3" applyNumberFormat="1" applyFont="1" applyBorder="1" applyAlignment="1">
      <alignment vertical="center"/>
    </xf>
    <xf numFmtId="3" fontId="9" fillId="0" borderId="28" xfId="3" applyNumberFormat="1" applyFont="1" applyBorder="1" applyAlignment="1">
      <alignment vertical="center"/>
    </xf>
    <xf numFmtId="3" fontId="5" fillId="0" borderId="26" xfId="3" applyNumberFormat="1" applyFont="1" applyBorder="1" applyAlignment="1">
      <alignment horizontal="justify" vertical="center"/>
    </xf>
    <xf numFmtId="3" fontId="5" fillId="0" borderId="28" xfId="3" applyNumberFormat="1" applyFont="1" applyBorder="1" applyAlignment="1">
      <alignment horizontal="right" vertical="center"/>
    </xf>
    <xf numFmtId="3" fontId="5" fillId="0" borderId="1" xfId="3" applyNumberFormat="1" applyFont="1" applyBorder="1" applyAlignment="1">
      <alignment horizontal="justify" vertical="center"/>
    </xf>
    <xf numFmtId="3" fontId="5" fillId="0" borderId="28" xfId="3" applyNumberFormat="1" applyFont="1" applyBorder="1" applyAlignment="1">
      <alignment horizontal="justify" vertical="center"/>
    </xf>
    <xf numFmtId="3" fontId="5" fillId="0" borderId="26" xfId="3" applyNumberFormat="1" applyFont="1" applyBorder="1" applyAlignment="1">
      <alignment vertical="center"/>
    </xf>
    <xf numFmtId="3" fontId="5" fillId="0" borderId="28" xfId="3" applyNumberFormat="1" applyFont="1" applyBorder="1" applyAlignment="1">
      <alignment vertical="center"/>
    </xf>
    <xf numFmtId="3" fontId="9" fillId="0" borderId="34" xfId="3" applyNumberFormat="1" applyFont="1" applyBorder="1" applyAlignment="1">
      <alignment vertical="center"/>
    </xf>
    <xf numFmtId="3" fontId="9" fillId="0" borderId="36" xfId="3" applyNumberFormat="1" applyFont="1" applyBorder="1" applyAlignment="1">
      <alignment vertical="center"/>
    </xf>
    <xf numFmtId="3" fontId="9" fillId="2" borderId="43" xfId="3" applyNumberFormat="1" applyFont="1" applyFill="1" applyBorder="1" applyAlignment="1">
      <alignment horizontal="right" vertical="center"/>
    </xf>
    <xf numFmtId="3" fontId="9" fillId="2" borderId="16" xfId="3" applyNumberFormat="1" applyFont="1" applyFill="1" applyBorder="1" applyAlignment="1">
      <alignment horizontal="right" vertical="center"/>
    </xf>
    <xf numFmtId="49" fontId="21" fillId="7" borderId="50" xfId="3" applyFont="1" applyFill="1" applyBorder="1" applyAlignment="1">
      <alignment horizontal="center" textRotation="90" wrapText="1"/>
    </xf>
    <xf numFmtId="49" fontId="21" fillId="7" borderId="79" xfId="3" applyFont="1" applyFill="1" applyBorder="1" applyAlignment="1">
      <alignment horizontal="center" textRotation="90" wrapText="1"/>
    </xf>
    <xf numFmtId="49" fontId="21" fillId="7" borderId="61" xfId="3" applyFont="1" applyFill="1" applyBorder="1" applyAlignment="1">
      <alignment horizontal="center" textRotation="90" wrapText="1"/>
    </xf>
    <xf numFmtId="3" fontId="5" fillId="0" borderId="28" xfId="0" applyNumberFormat="1" applyFont="1" applyBorder="1"/>
    <xf numFmtId="3" fontId="9" fillId="0" borderId="46" xfId="3" applyNumberFormat="1" applyFont="1" applyBorder="1" applyAlignment="1">
      <alignment vertical="center"/>
    </xf>
    <xf numFmtId="3" fontId="9" fillId="0" borderId="27" xfId="3" applyNumberFormat="1" applyFont="1" applyBorder="1" applyAlignment="1">
      <alignment vertical="center"/>
    </xf>
    <xf numFmtId="3" fontId="5" fillId="0" borderId="27" xfId="3" applyNumberFormat="1" applyFont="1" applyBorder="1" applyAlignment="1">
      <alignment horizontal="justify" vertical="center"/>
    </xf>
    <xf numFmtId="3" fontId="5" fillId="0" borderId="27" xfId="3" applyNumberFormat="1" applyFont="1" applyBorder="1" applyAlignment="1">
      <alignment vertical="center"/>
    </xf>
    <xf numFmtId="3" fontId="9" fillId="0" borderId="51" xfId="3" applyNumberFormat="1" applyFont="1" applyBorder="1" applyAlignment="1">
      <alignment vertical="center"/>
    </xf>
    <xf numFmtId="3" fontId="9" fillId="0" borderId="58" xfId="3" applyNumberFormat="1" applyFont="1" applyBorder="1" applyAlignment="1">
      <alignment vertical="center"/>
    </xf>
    <xf numFmtId="49" fontId="5" fillId="0" borderId="2" xfId="3" applyFont="1" applyBorder="1" applyAlignment="1">
      <alignment vertical="center" wrapText="1"/>
    </xf>
    <xf numFmtId="3" fontId="9" fillId="0" borderId="56" xfId="3" applyNumberFormat="1" applyFont="1" applyBorder="1" applyAlignment="1">
      <alignment vertical="center"/>
    </xf>
    <xf numFmtId="3" fontId="5" fillId="0" borderId="32" xfId="0" applyNumberFormat="1" applyFont="1" applyBorder="1"/>
    <xf numFmtId="3" fontId="12" fillId="0" borderId="28" xfId="0" applyNumberFormat="1" applyFont="1" applyBorder="1"/>
    <xf numFmtId="0" fontId="12" fillId="0" borderId="28" xfId="0" applyFont="1" applyBorder="1"/>
    <xf numFmtId="3" fontId="12" fillId="0" borderId="79" xfId="0" applyNumberFormat="1" applyFont="1" applyBorder="1"/>
    <xf numFmtId="3" fontId="12" fillId="0" borderId="27" xfId="0" applyNumberFormat="1" applyFont="1" applyBorder="1"/>
    <xf numFmtId="3" fontId="12" fillId="0" borderId="1" xfId="0" applyNumberFormat="1" applyFont="1" applyBorder="1"/>
    <xf numFmtId="3" fontId="12" fillId="0" borderId="23" xfId="0" applyNumberFormat="1" applyFont="1" applyBorder="1"/>
    <xf numFmtId="3" fontId="12" fillId="3" borderId="41" xfId="0" applyNumberFormat="1" applyFont="1" applyFill="1" applyBorder="1" applyAlignment="1"/>
    <xf numFmtId="3" fontId="12" fillId="3" borderId="41" xfId="0" applyNumberFormat="1" applyFont="1" applyFill="1" applyBorder="1"/>
    <xf numFmtId="3" fontId="12" fillId="0" borderId="46" xfId="0" applyNumberFormat="1" applyFont="1" applyBorder="1"/>
    <xf numFmtId="3" fontId="12" fillId="0" borderId="54" xfId="0" applyNumberFormat="1" applyFont="1" applyBorder="1"/>
    <xf numFmtId="3" fontId="12" fillId="0" borderId="24" xfId="0" applyNumberFormat="1" applyFont="1" applyBorder="1"/>
    <xf numFmtId="3" fontId="12" fillId="0" borderId="36" xfId="0" applyNumberFormat="1" applyFont="1" applyBorder="1"/>
    <xf numFmtId="3" fontId="12" fillId="0" borderId="32" xfId="0" applyNumberFormat="1" applyFont="1" applyBorder="1"/>
    <xf numFmtId="3" fontId="12" fillId="0" borderId="26" xfId="0" applyNumberFormat="1" applyFont="1" applyBorder="1"/>
    <xf numFmtId="3" fontId="12" fillId="0" borderId="25" xfId="0" applyNumberFormat="1" applyFont="1" applyBorder="1"/>
    <xf numFmtId="3" fontId="12" fillId="0" borderId="30" xfId="0" applyNumberFormat="1" applyFont="1" applyBorder="1"/>
    <xf numFmtId="3" fontId="12" fillId="0" borderId="31" xfId="0" applyNumberFormat="1" applyFont="1" applyBorder="1"/>
    <xf numFmtId="3" fontId="12" fillId="0" borderId="77" xfId="0" applyNumberFormat="1" applyFont="1" applyBorder="1"/>
    <xf numFmtId="3" fontId="12" fillId="0" borderId="68" xfId="0" applyNumberFormat="1" applyFont="1" applyBorder="1"/>
    <xf numFmtId="3" fontId="12" fillId="0" borderId="45" xfId="0" applyNumberFormat="1" applyFont="1" applyBorder="1"/>
    <xf numFmtId="3" fontId="12" fillId="0" borderId="33" xfId="0" applyNumberFormat="1" applyFont="1" applyBorder="1"/>
    <xf numFmtId="3" fontId="12" fillId="0" borderId="0" xfId="0" applyNumberFormat="1" applyFont="1"/>
    <xf numFmtId="3" fontId="12" fillId="0" borderId="29" xfId="0" applyNumberFormat="1" applyFont="1" applyBorder="1"/>
    <xf numFmtId="3" fontId="12" fillId="0" borderId="50" xfId="0" applyNumberFormat="1" applyFont="1" applyBorder="1"/>
    <xf numFmtId="3" fontId="13" fillId="0" borderId="0" xfId="2" applyNumberFormat="1" applyFont="1" applyFill="1" applyBorder="1" applyAlignment="1">
      <alignment vertical="center"/>
    </xf>
    <xf numFmtId="3" fontId="12" fillId="0" borderId="3" xfId="2" applyNumberFormat="1" applyFont="1" applyFill="1" applyBorder="1" applyAlignment="1">
      <alignment vertical="center"/>
    </xf>
    <xf numFmtId="3" fontId="13" fillId="0" borderId="58" xfId="2" applyNumberFormat="1" applyFont="1" applyFill="1" applyBorder="1" applyAlignment="1">
      <alignment vertical="center"/>
    </xf>
    <xf numFmtId="3" fontId="12" fillId="0" borderId="58" xfId="2" applyNumberFormat="1" applyFont="1" applyFill="1" applyBorder="1" applyAlignment="1">
      <alignment vertical="center"/>
    </xf>
    <xf numFmtId="3" fontId="13" fillId="2" borderId="19" xfId="2" applyNumberFormat="1" applyFont="1" applyFill="1" applyBorder="1" applyAlignment="1">
      <alignment vertical="center"/>
    </xf>
    <xf numFmtId="3" fontId="13" fillId="2" borderId="44" xfId="2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indent="1"/>
    </xf>
    <xf numFmtId="0" fontId="12" fillId="0" borderId="11" xfId="2" applyFont="1" applyFill="1" applyBorder="1" applyAlignment="1">
      <alignment horizontal="left" vertical="center"/>
    </xf>
    <xf numFmtId="3" fontId="13" fillId="0" borderId="56" xfId="2" applyNumberFormat="1" applyFont="1" applyFill="1" applyBorder="1" applyAlignment="1">
      <alignment vertical="center"/>
    </xf>
    <xf numFmtId="3" fontId="12" fillId="0" borderId="90" xfId="0" applyNumberFormat="1" applyFont="1" applyBorder="1"/>
    <xf numFmtId="3" fontId="12" fillId="0" borderId="4" xfId="2" applyNumberFormat="1" applyFont="1" applyFill="1" applyBorder="1" applyAlignment="1">
      <alignment vertical="center"/>
    </xf>
    <xf numFmtId="3" fontId="12" fillId="0" borderId="91" xfId="0" applyNumberFormat="1" applyFont="1" applyBorder="1"/>
    <xf numFmtId="0" fontId="12" fillId="0" borderId="9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4" fontId="13" fillId="2" borderId="17" xfId="2" applyNumberFormat="1" applyFont="1" applyFill="1" applyBorder="1" applyAlignment="1">
      <alignment vertical="center"/>
    </xf>
    <xf numFmtId="4" fontId="12" fillId="0" borderId="56" xfId="2" applyNumberFormat="1" applyFont="1" applyFill="1" applyBorder="1" applyAlignment="1">
      <alignment vertical="center"/>
    </xf>
    <xf numFmtId="2" fontId="12" fillId="0" borderId="4" xfId="2" applyNumberFormat="1" applyFont="1" applyFill="1" applyBorder="1" applyAlignment="1">
      <alignment vertical="center"/>
    </xf>
    <xf numFmtId="3" fontId="13" fillId="2" borderId="43" xfId="2" applyNumberFormat="1" applyFont="1" applyFill="1" applyBorder="1" applyAlignment="1">
      <alignment vertical="center"/>
    </xf>
    <xf numFmtId="2" fontId="13" fillId="2" borderId="18" xfId="2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4" fontId="12" fillId="0" borderId="28" xfId="0" applyNumberFormat="1" applyFont="1" applyBorder="1"/>
    <xf numFmtId="0" fontId="12" fillId="0" borderId="28" xfId="2" applyFont="1" applyBorder="1" applyAlignment="1">
      <alignment horizontal="left" vertical="center"/>
    </xf>
    <xf numFmtId="0" fontId="12" fillId="0" borderId="28" xfId="2" applyFont="1" applyBorder="1" applyAlignment="1">
      <alignment horizontal="left" vertical="center" wrapText="1"/>
    </xf>
    <xf numFmtId="0" fontId="12" fillId="0" borderId="28" xfId="0" applyFont="1" applyBorder="1" applyAlignment="1">
      <alignment wrapText="1"/>
    </xf>
    <xf numFmtId="0" fontId="12" fillId="0" borderId="16" xfId="0" applyFont="1" applyBorder="1" applyAlignment="1">
      <alignment horizontal="left" vertical="center" wrapText="1"/>
    </xf>
    <xf numFmtId="164" fontId="12" fillId="0" borderId="43" xfId="0" applyNumberFormat="1" applyFont="1" applyBorder="1" applyAlignment="1">
      <alignment horizontal="center"/>
    </xf>
    <xf numFmtId="4" fontId="12" fillId="0" borderId="18" xfId="0" applyNumberFormat="1" applyFont="1" applyBorder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 wrapText="1"/>
    </xf>
    <xf numFmtId="0" fontId="12" fillId="0" borderId="14" xfId="2" applyFont="1" applyBorder="1" applyAlignment="1">
      <alignment horizontal="left" vertical="center" wrapText="1"/>
    </xf>
    <xf numFmtId="0" fontId="13" fillId="0" borderId="58" xfId="2" applyFont="1" applyBorder="1" applyAlignment="1">
      <alignment vertical="center"/>
    </xf>
    <xf numFmtId="0" fontId="13" fillId="0" borderId="51" xfId="2" applyFont="1" applyBorder="1" applyAlignment="1">
      <alignment vertical="center"/>
    </xf>
    <xf numFmtId="43" fontId="12" fillId="0" borderId="4" xfId="5" applyFont="1" applyBorder="1" applyAlignment="1">
      <alignment vertical="center"/>
    </xf>
    <xf numFmtId="0" fontId="13" fillId="0" borderId="0" xfId="2" applyFont="1" applyAlignment="1">
      <alignment vertical="center"/>
    </xf>
    <xf numFmtId="0" fontId="12" fillId="0" borderId="14" xfId="2" applyFont="1" applyBorder="1" applyAlignment="1">
      <alignment horizontal="center" vertical="center" wrapText="1"/>
    </xf>
    <xf numFmtId="0" fontId="13" fillId="0" borderId="57" xfId="2" applyFont="1" applyBorder="1" applyAlignment="1">
      <alignment vertical="center"/>
    </xf>
    <xf numFmtId="0" fontId="12" fillId="0" borderId="57" xfId="2" applyFont="1" applyBorder="1" applyAlignment="1">
      <alignment horizontal="center" vertical="center"/>
    </xf>
    <xf numFmtId="43" fontId="13" fillId="2" borderId="43" xfId="2" applyNumberFormat="1" applyFont="1" applyFill="1" applyBorder="1" applyAlignment="1">
      <alignment vertical="center"/>
    </xf>
    <xf numFmtId="0" fontId="13" fillId="0" borderId="4" xfId="2" applyFont="1" applyBorder="1" applyAlignment="1">
      <alignment horizontal="center" vertical="center"/>
    </xf>
    <xf numFmtId="0" fontId="13" fillId="0" borderId="4" xfId="2" applyFont="1" applyBorder="1" applyAlignment="1">
      <alignment vertical="center"/>
    </xf>
    <xf numFmtId="0" fontId="13" fillId="0" borderId="14" xfId="2" applyFont="1" applyBorder="1" applyAlignment="1">
      <alignment vertical="center"/>
    </xf>
    <xf numFmtId="0" fontId="12" fillId="0" borderId="4" xfId="2" applyFont="1" applyBorder="1" applyAlignment="1">
      <alignment horizontal="center" vertical="center"/>
    </xf>
    <xf numFmtId="43" fontId="12" fillId="0" borderId="14" xfId="5" applyFont="1" applyBorder="1" applyAlignment="1">
      <alignment horizontal="center" vertical="center" wrapText="1"/>
    </xf>
    <xf numFmtId="15" fontId="12" fillId="0" borderId="14" xfId="2" applyNumberFormat="1" applyFont="1" applyBorder="1" applyAlignment="1">
      <alignment horizontal="center" vertical="center" wrapText="1"/>
    </xf>
    <xf numFmtId="15" fontId="12" fillId="0" borderId="4" xfId="2" applyNumberFormat="1" applyFont="1" applyBorder="1" applyAlignment="1">
      <alignment horizontal="center" vertical="center"/>
    </xf>
    <xf numFmtId="43" fontId="13" fillId="2" borderId="18" xfId="2" applyNumberFormat="1" applyFont="1" applyFill="1" applyBorder="1" applyAlignment="1">
      <alignment vertical="center"/>
    </xf>
    <xf numFmtId="0" fontId="13" fillId="7" borderId="19" xfId="2" applyFont="1" applyFill="1" applyBorder="1" applyAlignment="1">
      <alignment horizontal="center" vertical="center"/>
    </xf>
    <xf numFmtId="0" fontId="13" fillId="7" borderId="31" xfId="2" applyFont="1" applyFill="1" applyBorder="1" applyAlignment="1">
      <alignment horizontal="center" vertical="center" wrapText="1"/>
    </xf>
    <xf numFmtId="0" fontId="13" fillId="7" borderId="12" xfId="2" applyFont="1" applyFill="1" applyBorder="1" applyAlignment="1">
      <alignment horizontal="center"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13" fillId="7" borderId="62" xfId="2" applyFont="1" applyFill="1" applyBorder="1" applyAlignment="1">
      <alignment horizontal="center" vertical="center" wrapText="1"/>
    </xf>
    <xf numFmtId="0" fontId="13" fillId="7" borderId="12" xfId="2" applyFont="1" applyFill="1" applyBorder="1" applyAlignment="1">
      <alignment horizontal="center" vertical="center"/>
    </xf>
    <xf numFmtId="0" fontId="13" fillId="8" borderId="19" xfId="4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10" fontId="0" fillId="0" borderId="28" xfId="48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165" fontId="0" fillId="0" borderId="28" xfId="0" applyNumberFormat="1" applyBorder="1" applyAlignment="1">
      <alignment horizontal="center" vertical="center"/>
    </xf>
    <xf numFmtId="0" fontId="43" fillId="0" borderId="6" xfId="0" applyFont="1" applyBorder="1"/>
    <xf numFmtId="0" fontId="43" fillId="0" borderId="6" xfId="0" applyFont="1" applyBorder="1" applyAlignment="1">
      <alignment horizontal="center"/>
    </xf>
    <xf numFmtId="3" fontId="43" fillId="0" borderId="12" xfId="0" applyNumberFormat="1" applyFont="1" applyBorder="1"/>
    <xf numFmtId="3" fontId="43" fillId="0" borderId="4" xfId="0" applyNumberFormat="1" applyFont="1" applyBorder="1"/>
    <xf numFmtId="3" fontId="43" fillId="0" borderId="0" xfId="0" applyNumberFormat="1" applyFont="1"/>
    <xf numFmtId="3" fontId="43" fillId="0" borderId="3" xfId="0" applyNumberFormat="1" applyFont="1" applyBorder="1"/>
    <xf numFmtId="43" fontId="43" fillId="0" borderId="14" xfId="5" applyFont="1" applyBorder="1"/>
    <xf numFmtId="0" fontId="43" fillId="0" borderId="3" xfId="0" applyFont="1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43" fontId="43" fillId="0" borderId="14" xfId="5" applyFont="1" applyFill="1" applyBorder="1"/>
    <xf numFmtId="3" fontId="43" fillId="0" borderId="14" xfId="0" applyNumberFormat="1" applyFont="1" applyBorder="1"/>
    <xf numFmtId="0" fontId="0" fillId="0" borderId="3" xfId="0" applyBorder="1" applyAlignment="1">
      <alignment horizontal="left" indent="2"/>
    </xf>
    <xf numFmtId="43" fontId="2" fillId="0" borderId="14" xfId="5" applyFont="1" applyFill="1" applyBorder="1" applyAlignment="1">
      <alignment horizontal="center"/>
    </xf>
    <xf numFmtId="3" fontId="43" fillId="0" borderId="14" xfId="0" applyNumberFormat="1" applyFont="1" applyBorder="1" applyAlignment="1">
      <alignment horizontal="center" vertical="center"/>
    </xf>
    <xf numFmtId="3" fontId="43" fillId="0" borderId="4" xfId="0" applyNumberFormat="1" applyFont="1" applyBorder="1" applyAlignment="1">
      <alignment horizontal="center"/>
    </xf>
    <xf numFmtId="3" fontId="4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wrapText="1" indent="5"/>
    </xf>
    <xf numFmtId="0" fontId="43" fillId="0" borderId="7" xfId="0" applyFont="1" applyBorder="1"/>
    <xf numFmtId="0" fontId="43" fillId="0" borderId="11" xfId="0" applyFont="1" applyBorder="1"/>
    <xf numFmtId="0" fontId="43" fillId="0" borderId="8" xfId="0" applyFont="1" applyBorder="1"/>
    <xf numFmtId="0" fontId="43" fillId="0" borderId="0" xfId="0" applyFont="1"/>
    <xf numFmtId="43" fontId="43" fillId="0" borderId="11" xfId="5" applyFont="1" applyFill="1" applyBorder="1"/>
    <xf numFmtId="43" fontId="12" fillId="0" borderId="5" xfId="4" applyNumberFormat="1" applyFont="1" applyBorder="1"/>
    <xf numFmtId="3" fontId="12" fillId="0" borderId="28" xfId="0" applyNumberFormat="1" applyFont="1" applyFill="1" applyBorder="1"/>
    <xf numFmtId="0" fontId="12" fillId="0" borderId="28" xfId="0" applyFont="1" applyFill="1" applyBorder="1"/>
    <xf numFmtId="0" fontId="12" fillId="0" borderId="28" xfId="0" applyFont="1" applyFill="1" applyBorder="1" applyAlignment="1">
      <alignment wrapText="1"/>
    </xf>
    <xf numFmtId="3" fontId="19" fillId="0" borderId="3" xfId="0" applyNumberFormat="1" applyFont="1" applyBorder="1"/>
    <xf numFmtId="3" fontId="19" fillId="0" borderId="3" xfId="0" applyNumberFormat="1" applyFont="1" applyBorder="1" applyAlignment="1"/>
    <xf numFmtId="3" fontId="19" fillId="0" borderId="12" xfId="0" applyNumberFormat="1" applyFont="1" applyBorder="1"/>
    <xf numFmtId="3" fontId="19" fillId="0" borderId="21" xfId="0" applyNumberFormat="1" applyFont="1" applyBorder="1"/>
    <xf numFmtId="0" fontId="19" fillId="0" borderId="3" xfId="0" applyNumberFormat="1" applyFont="1" applyBorder="1"/>
    <xf numFmtId="0" fontId="19" fillId="0" borderId="4" xfId="0" applyNumberFormat="1" applyFont="1" applyBorder="1"/>
    <xf numFmtId="0" fontId="19" fillId="0" borderId="8" xfId="0" applyFont="1" applyBorder="1"/>
    <xf numFmtId="3" fontId="19" fillId="0" borderId="6" xfId="0" applyNumberFormat="1" applyFont="1" applyBorder="1"/>
    <xf numFmtId="0" fontId="19" fillId="0" borderId="7" xfId="0" applyFont="1" applyBorder="1"/>
    <xf numFmtId="0" fontId="19" fillId="0" borderId="12" xfId="0" applyFont="1" applyBorder="1"/>
    <xf numFmtId="4" fontId="19" fillId="0" borderId="57" xfId="0" applyNumberFormat="1" applyFont="1" applyBorder="1"/>
    <xf numFmtId="2" fontId="19" fillId="0" borderId="11" xfId="0" applyNumberFormat="1" applyFont="1" applyBorder="1"/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2" borderId="14" xfId="2" applyFont="1" applyFill="1" applyBorder="1" applyAlignment="1">
      <alignment horizontal="left" vertical="center"/>
    </xf>
    <xf numFmtId="0" fontId="13" fillId="2" borderId="0" xfId="2" applyFont="1" applyFill="1" applyAlignment="1">
      <alignment vertical="center"/>
    </xf>
    <xf numFmtId="0" fontId="4" fillId="0" borderId="2" xfId="2" applyFont="1" applyBorder="1" applyAlignment="1">
      <alignment horizontal="center" vertical="center"/>
    </xf>
    <xf numFmtId="0" fontId="4" fillId="0" borderId="28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28" xfId="2" applyFont="1" applyFill="1" applyBorder="1" applyAlignment="1">
      <alignment vertical="center"/>
    </xf>
    <xf numFmtId="0" fontId="44" fillId="0" borderId="2" xfId="2" applyFont="1" applyBorder="1" applyAlignment="1">
      <alignment horizontal="center" vertical="center"/>
    </xf>
    <xf numFmtId="0" fontId="44" fillId="0" borderId="2" xfId="4" applyFont="1" applyBorder="1" applyAlignment="1">
      <alignment horizontal="center" vertical="center" wrapText="1"/>
    </xf>
    <xf numFmtId="0" fontId="45" fillId="3" borderId="2" xfId="2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9" fillId="2" borderId="0" xfId="2" applyFont="1" applyFill="1" applyAlignment="1">
      <alignment vertical="center"/>
    </xf>
    <xf numFmtId="0" fontId="5" fillId="0" borderId="28" xfId="2" applyFont="1" applyBorder="1" applyAlignment="1">
      <alignment vertical="center"/>
    </xf>
    <xf numFmtId="4" fontId="5" fillId="0" borderId="28" xfId="2" applyNumberFormat="1" applyFont="1" applyBorder="1" applyAlignment="1">
      <alignment vertical="center"/>
    </xf>
    <xf numFmtId="0" fontId="9" fillId="2" borderId="28" xfId="2" applyFont="1" applyFill="1" applyBorder="1" applyAlignment="1">
      <alignment vertical="center"/>
    </xf>
    <xf numFmtId="1" fontId="5" fillId="0" borderId="28" xfId="2" applyNumberFormat="1" applyFont="1" applyBorder="1" applyAlignment="1">
      <alignment vertical="center"/>
    </xf>
    <xf numFmtId="4" fontId="9" fillId="2" borderId="28" xfId="2" applyNumberFormat="1" applyFont="1" applyFill="1" applyBorder="1" applyAlignment="1">
      <alignment vertical="center"/>
    </xf>
    <xf numFmtId="0" fontId="5" fillId="3" borderId="28" xfId="2" applyFont="1" applyFill="1" applyBorder="1" applyAlignment="1">
      <alignment vertical="center"/>
    </xf>
    <xf numFmtId="1" fontId="9" fillId="3" borderId="28" xfId="2" applyNumberFormat="1" applyFont="1" applyFill="1" applyBorder="1" applyAlignment="1">
      <alignment vertical="center"/>
    </xf>
    <xf numFmtId="4" fontId="9" fillId="3" borderId="28" xfId="2" applyNumberFormat="1" applyFont="1" applyFill="1" applyBorder="1" applyAlignment="1">
      <alignment vertical="center"/>
    </xf>
    <xf numFmtId="4" fontId="5" fillId="3" borderId="28" xfId="2" applyNumberFormat="1" applyFont="1" applyFill="1" applyBorder="1" applyAlignment="1">
      <alignment vertical="center"/>
    </xf>
    <xf numFmtId="4" fontId="9" fillId="2" borderId="92" xfId="2" applyNumberFormat="1" applyFont="1" applyFill="1" applyBorder="1" applyAlignment="1">
      <alignment vertical="center"/>
    </xf>
    <xf numFmtId="1" fontId="9" fillId="2" borderId="28" xfId="2" applyNumberFormat="1" applyFont="1" applyFill="1" applyBorder="1" applyAlignment="1">
      <alignment vertical="center"/>
    </xf>
    <xf numFmtId="0" fontId="12" fillId="0" borderId="48" xfId="2" applyFont="1" applyBorder="1" applyAlignment="1">
      <alignment horizontal="left" vertical="center"/>
    </xf>
    <xf numFmtId="0" fontId="4" fillId="0" borderId="27" xfId="2" applyFont="1" applyBorder="1" applyAlignment="1">
      <alignment vertical="center"/>
    </xf>
    <xf numFmtId="4" fontId="4" fillId="0" borderId="63" xfId="2" applyNumberFormat="1" applyFont="1" applyBorder="1" applyAlignment="1">
      <alignment vertical="center"/>
    </xf>
    <xf numFmtId="0" fontId="4" fillId="0" borderId="26" xfId="2" applyFont="1" applyBorder="1" applyAlignment="1">
      <alignment vertical="center"/>
    </xf>
    <xf numFmtId="4" fontId="4" fillId="0" borderId="29" xfId="2" applyNumberFormat="1" applyFont="1" applyBorder="1" applyAlignment="1">
      <alignment vertical="center"/>
    </xf>
    <xf numFmtId="0" fontId="4" fillId="0" borderId="29" xfId="2" applyFont="1" applyBorder="1" applyAlignment="1">
      <alignment vertical="center"/>
    </xf>
    <xf numFmtId="0" fontId="12" fillId="0" borderId="14" xfId="2" applyFont="1" applyBorder="1" applyAlignment="1">
      <alignment horizontal="left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vertical="center"/>
    </xf>
    <xf numFmtId="4" fontId="6" fillId="2" borderId="18" xfId="2" applyNumberFormat="1" applyFont="1" applyFill="1" applyBorder="1" applyAlignment="1">
      <alignment vertical="center"/>
    </xf>
    <xf numFmtId="0" fontId="6" fillId="2" borderId="43" xfId="2" applyFont="1" applyFill="1" applyBorder="1" applyAlignment="1">
      <alignment vertical="center"/>
    </xf>
    <xf numFmtId="4" fontId="6" fillId="2" borderId="44" xfId="2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center"/>
    </xf>
    <xf numFmtId="4" fontId="12" fillId="0" borderId="58" xfId="0" applyNumberFormat="1" applyFont="1" applyBorder="1"/>
    <xf numFmtId="4" fontId="12" fillId="0" borderId="4" xfId="0" applyNumberFormat="1" applyFont="1" applyBorder="1"/>
    <xf numFmtId="4" fontId="12" fillId="0" borderId="14" xfId="0" applyNumberFormat="1" applyFont="1" applyBorder="1"/>
    <xf numFmtId="0" fontId="6" fillId="0" borderId="14" xfId="4" applyFont="1" applyBorder="1" applyAlignment="1">
      <alignment horizontal="left"/>
    </xf>
    <xf numFmtId="0" fontId="12" fillId="41" borderId="14" xfId="0" applyFont="1" applyFill="1" applyBorder="1" applyAlignment="1">
      <alignment horizontal="center"/>
    </xf>
    <xf numFmtId="4" fontId="12" fillId="41" borderId="13" xfId="0" applyNumberFormat="1" applyFont="1" applyFill="1" applyBorder="1"/>
    <xf numFmtId="4" fontId="12" fillId="41" borderId="58" xfId="0" applyNumberFormat="1" applyFont="1" applyFill="1" applyBorder="1"/>
    <xf numFmtId="4" fontId="12" fillId="41" borderId="4" xfId="0" applyNumberFormat="1" applyFont="1" applyFill="1" applyBorder="1"/>
    <xf numFmtId="1" fontId="12" fillId="41" borderId="93" xfId="0" applyNumberFormat="1" applyFont="1" applyFill="1" applyBorder="1" applyAlignment="1">
      <alignment horizontal="center" vertical="center"/>
    </xf>
    <xf numFmtId="0" fontId="12" fillId="41" borderId="93" xfId="0" applyFont="1" applyFill="1" applyBorder="1" applyAlignment="1">
      <alignment horizontal="center"/>
    </xf>
    <xf numFmtId="4" fontId="12" fillId="41" borderId="35" xfId="0" applyNumberFormat="1" applyFont="1" applyFill="1" applyBorder="1"/>
    <xf numFmtId="4" fontId="12" fillId="41" borderId="93" xfId="0" applyNumberFormat="1" applyFont="1" applyFill="1" applyBorder="1"/>
    <xf numFmtId="0" fontId="12" fillId="41" borderId="94" xfId="0" applyFont="1" applyFill="1" applyBorder="1"/>
    <xf numFmtId="0" fontId="4" fillId="0" borderId="14" xfId="4" applyBorder="1" applyAlignment="1">
      <alignment horizontal="left"/>
    </xf>
    <xf numFmtId="0" fontId="12" fillId="0" borderId="14" xfId="4" applyFont="1" applyBorder="1" applyAlignment="1">
      <alignment horizontal="center"/>
    </xf>
    <xf numFmtId="0" fontId="12" fillId="41" borderId="14" xfId="4" applyFont="1" applyFill="1" applyBorder="1" applyAlignment="1">
      <alignment horizontal="center"/>
    </xf>
    <xf numFmtId="4" fontId="12" fillId="41" borderId="78" xfId="0" applyNumberFormat="1" applyFont="1" applyFill="1" applyBorder="1"/>
    <xf numFmtId="0" fontId="13" fillId="0" borderId="14" xfId="4" applyFont="1" applyBorder="1" applyAlignment="1">
      <alignment horizontal="left"/>
    </xf>
    <xf numFmtId="0" fontId="12" fillId="0" borderId="14" xfId="4" applyFont="1" applyBorder="1" applyAlignment="1">
      <alignment horizontal="left"/>
    </xf>
    <xf numFmtId="0" fontId="12" fillId="0" borderId="14" xfId="4" applyFont="1" applyBorder="1" applyAlignment="1">
      <alignment horizontal="left" vertical="center"/>
    </xf>
    <xf numFmtId="0" fontId="13" fillId="0" borderId="14" xfId="4" applyFont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4" fontId="5" fillId="0" borderId="13" xfId="0" applyNumberFormat="1" applyFont="1" applyBorder="1"/>
    <xf numFmtId="4" fontId="5" fillId="0" borderId="0" xfId="0" applyNumberFormat="1" applyFont="1"/>
    <xf numFmtId="4" fontId="5" fillId="0" borderId="58" xfId="0" applyNumberFormat="1" applyFont="1" applyBorder="1"/>
    <xf numFmtId="4" fontId="5" fillId="0" borderId="4" xfId="0" applyNumberFormat="1" applyFont="1" applyBorder="1"/>
    <xf numFmtId="4" fontId="5" fillId="0" borderId="14" xfId="0" applyNumberFormat="1" applyFont="1" applyBorder="1"/>
    <xf numFmtId="0" fontId="5" fillId="0" borderId="4" xfId="0" applyFont="1" applyBorder="1"/>
    <xf numFmtId="4" fontId="5" fillId="41" borderId="35" xfId="0" applyNumberFormat="1" applyFont="1" applyFill="1" applyBorder="1"/>
    <xf numFmtId="4" fontId="5" fillId="41" borderId="78" xfId="0" applyNumberFormat="1" applyFont="1" applyFill="1" applyBorder="1"/>
    <xf numFmtId="4" fontId="5" fillId="41" borderId="93" xfId="0" applyNumberFormat="1" applyFont="1" applyFill="1" applyBorder="1"/>
    <xf numFmtId="0" fontId="5" fillId="41" borderId="94" xfId="0" applyFont="1" applyFill="1" applyBorder="1"/>
    <xf numFmtId="4" fontId="5" fillId="41" borderId="13" xfId="0" applyNumberFormat="1" applyFont="1" applyFill="1" applyBorder="1"/>
    <xf numFmtId="4" fontId="5" fillId="41" borderId="0" xfId="0" applyNumberFormat="1" applyFont="1" applyFill="1"/>
    <xf numFmtId="4" fontId="5" fillId="41" borderId="14" xfId="0" applyNumberFormat="1" applyFont="1" applyFill="1" applyBorder="1"/>
    <xf numFmtId="0" fontId="5" fillId="41" borderId="4" xfId="0" applyFont="1" applyFill="1" applyBorder="1"/>
    <xf numFmtId="0" fontId="5" fillId="0" borderId="58" xfId="0" applyFont="1" applyBorder="1"/>
    <xf numFmtId="4" fontId="5" fillId="0" borderId="46" xfId="0" applyNumberFormat="1" applyFont="1" applyBorder="1"/>
    <xf numFmtId="4" fontId="5" fillId="41" borderId="37" xfId="0" applyNumberFormat="1" applyFont="1" applyFill="1" applyBorder="1"/>
    <xf numFmtId="4" fontId="5" fillId="41" borderId="34" xfId="0" applyNumberFormat="1" applyFont="1" applyFill="1" applyBorder="1"/>
    <xf numFmtId="4" fontId="5" fillId="41" borderId="94" xfId="0" applyNumberFormat="1" applyFont="1" applyFill="1" applyBorder="1"/>
    <xf numFmtId="0" fontId="5" fillId="41" borderId="93" xfId="0" applyFont="1" applyFill="1" applyBorder="1"/>
    <xf numFmtId="0" fontId="5" fillId="0" borderId="13" xfId="0" applyFont="1" applyBorder="1"/>
    <xf numFmtId="0" fontId="5" fillId="0" borderId="14" xfId="0" applyFont="1" applyBorder="1"/>
    <xf numFmtId="4" fontId="5" fillId="4" borderId="67" xfId="0" applyNumberFormat="1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4" fontId="5" fillId="0" borderId="13" xfId="4" applyNumberFormat="1" applyFont="1" applyBorder="1"/>
    <xf numFmtId="1" fontId="5" fillId="0" borderId="14" xfId="0" applyNumberFormat="1" applyFont="1" applyBorder="1" applyAlignment="1">
      <alignment horizontal="center" vertical="center"/>
    </xf>
    <xf numFmtId="4" fontId="5" fillId="41" borderId="13" xfId="4" applyNumberFormat="1" applyFont="1" applyFill="1" applyBorder="1"/>
    <xf numFmtId="0" fontId="5" fillId="41" borderId="13" xfId="0" applyFont="1" applyFill="1" applyBorder="1"/>
    <xf numFmtId="0" fontId="5" fillId="41" borderId="0" xfId="0" applyFont="1" applyFill="1"/>
    <xf numFmtId="4" fontId="5" fillId="41" borderId="58" xfId="0" applyNumberFormat="1" applyFont="1" applyFill="1" applyBorder="1"/>
    <xf numFmtId="4" fontId="5" fillId="41" borderId="4" xfId="0" applyNumberFormat="1" applyFont="1" applyFill="1" applyBorder="1"/>
    <xf numFmtId="1" fontId="5" fillId="41" borderId="93" xfId="0" applyNumberFormat="1" applyFont="1" applyFill="1" applyBorder="1" applyAlignment="1">
      <alignment horizontal="center" vertical="center"/>
    </xf>
    <xf numFmtId="166" fontId="5" fillId="0" borderId="58" xfId="0" applyNumberFormat="1" applyFont="1" applyBorder="1"/>
    <xf numFmtId="1" fontId="5" fillId="41" borderId="14" xfId="0" applyNumberFormat="1" applyFont="1" applyFill="1" applyBorder="1" applyAlignment="1">
      <alignment horizontal="center" vertical="center"/>
    </xf>
    <xf numFmtId="43" fontId="5" fillId="0" borderId="58" xfId="5" applyFont="1" applyBorder="1"/>
    <xf numFmtId="4" fontId="5" fillId="41" borderId="58" xfId="4" applyNumberFormat="1" applyFont="1" applyFill="1" applyBorder="1"/>
    <xf numFmtId="4" fontId="5" fillId="0" borderId="58" xfId="4" applyNumberFormat="1" applyFont="1" applyBorder="1"/>
    <xf numFmtId="1" fontId="5" fillId="0" borderId="70" xfId="0" applyNumberFormat="1" applyFont="1" applyBorder="1" applyAlignment="1">
      <alignment horizontal="center" vertical="center"/>
    </xf>
    <xf numFmtId="49" fontId="16" fillId="0" borderId="0" xfId="1" quotePrefix="1" applyNumberFormat="1" applyFont="1" applyAlignment="1">
      <alignment horizontal="left" vertical="center"/>
    </xf>
    <xf numFmtId="0" fontId="12" fillId="5" borderId="14" xfId="2" applyFont="1" applyFill="1" applyBorder="1" applyAlignment="1">
      <alignment horizontal="left" vertical="center"/>
    </xf>
    <xf numFmtId="0" fontId="12" fillId="5" borderId="4" xfId="2" applyFont="1" applyFill="1" applyBorder="1" applyAlignment="1">
      <alignment horizontal="center" vertical="center"/>
    </xf>
    <xf numFmtId="0" fontId="12" fillId="5" borderId="0" xfId="2" applyFont="1" applyFill="1" applyAlignment="1">
      <alignment horizontal="left" vertical="center"/>
    </xf>
    <xf numFmtId="4" fontId="12" fillId="5" borderId="3" xfId="2" applyNumberFormat="1" applyFont="1" applyFill="1" applyBorder="1" applyAlignment="1">
      <alignment horizontal="right" vertical="center"/>
    </xf>
    <xf numFmtId="0" fontId="12" fillId="5" borderId="3" xfId="2" applyFont="1" applyFill="1" applyBorder="1" applyAlignment="1">
      <alignment horizontal="left" vertical="center"/>
    </xf>
    <xf numFmtId="0" fontId="12" fillId="5" borderId="14" xfId="2" applyFont="1" applyFill="1" applyBorder="1" applyAlignment="1">
      <alignment horizontal="center" vertical="center"/>
    </xf>
    <xf numFmtId="14" fontId="12" fillId="5" borderId="4" xfId="2" applyNumberFormat="1" applyFont="1" applyFill="1" applyBorder="1" applyAlignment="1">
      <alignment vertical="center"/>
    </xf>
    <xf numFmtId="0" fontId="12" fillId="5" borderId="4" xfId="2" applyFont="1" applyFill="1" applyBorder="1" applyAlignment="1">
      <alignment vertical="center"/>
    </xf>
    <xf numFmtId="0" fontId="12" fillId="5" borderId="14" xfId="2" applyFont="1" applyFill="1" applyBorder="1" applyAlignment="1">
      <alignment vertical="center"/>
    </xf>
    <xf numFmtId="0" fontId="12" fillId="5" borderId="0" xfId="2" applyFont="1" applyFill="1" applyAlignment="1">
      <alignment vertical="center"/>
    </xf>
    <xf numFmtId="0" fontId="12" fillId="5" borderId="3" xfId="2" applyFont="1" applyFill="1" applyBorder="1" applyAlignment="1">
      <alignment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vertical="center"/>
    </xf>
    <xf numFmtId="49" fontId="12" fillId="0" borderId="0" xfId="1" applyNumberFormat="1" applyFont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3" fontId="12" fillId="0" borderId="58" xfId="2" applyNumberFormat="1" applyFont="1" applyBorder="1" applyAlignment="1">
      <alignment vertical="center"/>
    </xf>
    <xf numFmtId="0" fontId="13" fillId="2" borderId="16" xfId="2" applyFont="1" applyFill="1" applyBorder="1" applyAlignment="1">
      <alignment vertical="center"/>
    </xf>
    <xf numFmtId="0" fontId="13" fillId="0" borderId="0" xfId="4" applyFont="1"/>
    <xf numFmtId="0" fontId="11" fillId="0" borderId="0" xfId="4" applyFont="1"/>
    <xf numFmtId="0" fontId="11" fillId="0" borderId="0" xfId="4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3" fillId="8" borderId="5" xfId="4" applyFont="1" applyFill="1" applyBorder="1" applyAlignment="1">
      <alignment horizontal="center" vertical="center" wrapText="1"/>
    </xf>
    <xf numFmtId="0" fontId="12" fillId="0" borderId="12" xfId="4" applyFont="1" applyBorder="1"/>
    <xf numFmtId="0" fontId="12" fillId="0" borderId="21" xfId="4" applyFont="1" applyBorder="1" applyAlignment="1">
      <alignment horizontal="center"/>
    </xf>
    <xf numFmtId="3" fontId="12" fillId="0" borderId="4" xfId="4" applyNumberFormat="1" applyFont="1" applyBorder="1"/>
    <xf numFmtId="3" fontId="12" fillId="0" borderId="0" xfId="4" applyNumberFormat="1" applyFont="1"/>
    <xf numFmtId="0" fontId="12" fillId="0" borderId="14" xfId="4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/>
    </xf>
    <xf numFmtId="0" fontId="12" fillId="0" borderId="14" xfId="4" applyFont="1" applyBorder="1"/>
    <xf numFmtId="0" fontId="12" fillId="0" borderId="4" xfId="4" applyFont="1" applyBorder="1" applyAlignment="1">
      <alignment horizontal="center"/>
    </xf>
    <xf numFmtId="0" fontId="12" fillId="0" borderId="11" xfId="4" applyFont="1" applyBorder="1"/>
    <xf numFmtId="0" fontId="12" fillId="0" borderId="8" xfId="4" applyFont="1" applyBorder="1"/>
    <xf numFmtId="0" fontId="12" fillId="0" borderId="4" xfId="4" applyFont="1" applyBorder="1"/>
    <xf numFmtId="0" fontId="12" fillId="0" borderId="20" xfId="4" applyFont="1" applyBorder="1" applyAlignment="1">
      <alignment horizontal="center" vertical="center"/>
    </xf>
    <xf numFmtId="3" fontId="12" fillId="0" borderId="20" xfId="4" applyNumberFormat="1" applyFont="1" applyBorder="1"/>
    <xf numFmtId="3" fontId="12" fillId="0" borderId="13" xfId="0" applyNumberFormat="1" applyFont="1" applyBorder="1"/>
    <xf numFmtId="3" fontId="12" fillId="0" borderId="4" xfId="0" applyNumberFormat="1" applyFont="1" applyBorder="1"/>
    <xf numFmtId="0" fontId="13" fillId="0" borderId="0" xfId="2" applyFont="1" applyAlignment="1">
      <alignment horizontal="left" vertical="center"/>
    </xf>
    <xf numFmtId="0" fontId="13" fillId="7" borderId="4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2" fillId="5" borderId="28" xfId="0" applyFont="1" applyFill="1" applyBorder="1" applyAlignment="1">
      <alignment vertical="center" wrapText="1"/>
    </xf>
    <xf numFmtId="167" fontId="12" fillId="5" borderId="28" xfId="0" applyNumberFormat="1" applyFont="1" applyFill="1" applyBorder="1" applyAlignment="1">
      <alignment horizontal="center" vertical="center"/>
    </xf>
    <xf numFmtId="49" fontId="12" fillId="5" borderId="28" xfId="0" quotePrefix="1" applyNumberFormat="1" applyFont="1" applyFill="1" applyBorder="1" applyAlignment="1">
      <alignment horizontal="center" vertical="center"/>
    </xf>
    <xf numFmtId="2" fontId="12" fillId="0" borderId="28" xfId="0" applyNumberFormat="1" applyFont="1" applyBorder="1" applyAlignment="1">
      <alignment vertical="center"/>
    </xf>
    <xf numFmtId="0" fontId="12" fillId="5" borderId="28" xfId="0" applyFont="1" applyFill="1" applyBorder="1" applyAlignment="1">
      <alignment horizontal="left" vertical="center" wrapText="1"/>
    </xf>
    <xf numFmtId="167" fontId="0" fillId="0" borderId="28" xfId="0" applyNumberFormat="1" applyBorder="1"/>
    <xf numFmtId="0" fontId="0" fillId="0" borderId="28" xfId="0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quotePrefix="1" applyFont="1"/>
    <xf numFmtId="0" fontId="9" fillId="0" borderId="0" xfId="2" applyFont="1" applyAlignment="1">
      <alignment vertical="center"/>
    </xf>
    <xf numFmtId="0" fontId="22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4" fontId="4" fillId="0" borderId="28" xfId="0" applyNumberFormat="1" applyFont="1" applyBorder="1"/>
    <xf numFmtId="4" fontId="5" fillId="0" borderId="51" xfId="0" applyNumberFormat="1" applyFont="1" applyBorder="1"/>
    <xf numFmtId="4" fontId="9" fillId="0" borderId="58" xfId="0" applyNumberFormat="1" applyFont="1" applyBorder="1"/>
    <xf numFmtId="4" fontId="9" fillId="0" borderId="51" xfId="0" applyNumberFormat="1" applyFont="1" applyBorder="1"/>
    <xf numFmtId="4" fontId="9" fillId="0" borderId="4" xfId="0" applyNumberFormat="1" applyFont="1" applyBorder="1"/>
    <xf numFmtId="4" fontId="9" fillId="0" borderId="13" xfId="0" applyNumberFormat="1" applyFont="1" applyBorder="1"/>
    <xf numFmtId="0" fontId="5" fillId="0" borderId="14" xfId="0" quotePrefix="1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3" fontId="5" fillId="0" borderId="61" xfId="0" applyNumberFormat="1" applyFont="1" applyBorder="1"/>
    <xf numFmtId="3" fontId="5" fillId="0" borderId="49" xfId="0" applyNumberFormat="1" applyFont="1" applyBorder="1"/>
    <xf numFmtId="3" fontId="5" fillId="0" borderId="50" xfId="0" applyNumberFormat="1" applyFont="1" applyBorder="1"/>
    <xf numFmtId="3" fontId="5" fillId="0" borderId="21" xfId="0" applyNumberFormat="1" applyFont="1" applyBorder="1"/>
    <xf numFmtId="3" fontId="5" fillId="0" borderId="54" xfId="0" applyNumberFormat="1" applyFont="1" applyBorder="1"/>
    <xf numFmtId="3" fontId="5" fillId="0" borderId="55" xfId="0" applyNumberFormat="1" applyFont="1" applyBorder="1"/>
    <xf numFmtId="0" fontId="9" fillId="0" borderId="47" xfId="0" applyFont="1" applyBorder="1" applyAlignment="1">
      <alignment horizontal="center" wrapText="1"/>
    </xf>
    <xf numFmtId="3" fontId="9" fillId="0" borderId="72" xfId="0" applyNumberFormat="1" applyFont="1" applyBorder="1"/>
    <xf numFmtId="3" fontId="9" fillId="0" borderId="73" xfId="0" applyNumberFormat="1" applyFont="1" applyBorder="1"/>
    <xf numFmtId="3" fontId="9" fillId="0" borderId="76" xfId="0" applyNumberFormat="1" applyFont="1" applyBorder="1"/>
    <xf numFmtId="3" fontId="9" fillId="0" borderId="71" xfId="0" applyNumberFormat="1" applyFont="1" applyBorder="1"/>
    <xf numFmtId="3" fontId="9" fillId="0" borderId="74" xfId="0" applyNumberFormat="1" applyFont="1" applyBorder="1"/>
    <xf numFmtId="3" fontId="9" fillId="0" borderId="75" xfId="0" applyNumberFormat="1" applyFont="1" applyBorder="1"/>
    <xf numFmtId="0" fontId="9" fillId="0" borderId="5" xfId="0" applyFont="1" applyBorder="1" applyAlignment="1">
      <alignment horizontal="center" wrapText="1"/>
    </xf>
    <xf numFmtId="3" fontId="9" fillId="0" borderId="43" xfId="0" applyNumberFormat="1" applyFont="1" applyBorder="1"/>
    <xf numFmtId="3" fontId="9" fillId="0" borderId="20" xfId="0" applyNumberFormat="1" applyFont="1" applyBorder="1"/>
    <xf numFmtId="3" fontId="9" fillId="0" borderId="16" xfId="0" applyNumberFormat="1" applyFont="1" applyBorder="1"/>
    <xf numFmtId="3" fontId="9" fillId="0" borderId="18" xfId="0" applyNumberFormat="1" applyFont="1" applyBorder="1"/>
    <xf numFmtId="3" fontId="9" fillId="0" borderId="15" xfId="0" applyNumberFormat="1" applyFont="1" applyBorder="1"/>
    <xf numFmtId="3" fontId="9" fillId="0" borderId="44" xfId="0" applyNumberFormat="1" applyFont="1" applyBorder="1"/>
    <xf numFmtId="0" fontId="9" fillId="7" borderId="5" xfId="2" applyFont="1" applyFill="1" applyBorder="1" applyAlignment="1">
      <alignment horizontal="center" vertical="center"/>
    </xf>
    <xf numFmtId="0" fontId="9" fillId="7" borderId="14" xfId="2" applyFont="1" applyFill="1" applyBorder="1" applyAlignment="1">
      <alignment horizontal="center" vertical="center" wrapText="1"/>
    </xf>
    <xf numFmtId="0" fontId="5" fillId="7" borderId="30" xfId="2" applyFont="1" applyFill="1" applyBorder="1" applyAlignment="1">
      <alignment horizontal="center" vertical="center" textRotation="90" wrapText="1"/>
    </xf>
    <xf numFmtId="0" fontId="5" fillId="7" borderId="68" xfId="2" applyFont="1" applyFill="1" applyBorder="1" applyAlignment="1">
      <alignment horizontal="center" vertical="center" textRotation="90" wrapText="1"/>
    </xf>
    <xf numFmtId="0" fontId="5" fillId="7" borderId="32" xfId="2" applyFont="1" applyFill="1" applyBorder="1" applyAlignment="1">
      <alignment horizontal="center" vertical="center" textRotation="90" wrapText="1"/>
    </xf>
    <xf numFmtId="0" fontId="9" fillId="7" borderId="32" xfId="2" applyFont="1" applyFill="1" applyBorder="1" applyAlignment="1">
      <alignment horizontal="center" vertical="center" textRotation="90" wrapText="1"/>
    </xf>
    <xf numFmtId="0" fontId="9" fillId="7" borderId="33" xfId="2" applyFont="1" applyFill="1" applyBorder="1" applyAlignment="1">
      <alignment horizontal="center" vertical="center" textRotation="90" wrapText="1"/>
    </xf>
    <xf numFmtId="0" fontId="9" fillId="7" borderId="31" xfId="2" applyFont="1" applyFill="1" applyBorder="1" applyAlignment="1">
      <alignment horizontal="center" vertical="center" textRotation="90" wrapText="1"/>
    </xf>
    <xf numFmtId="0" fontId="12" fillId="0" borderId="66" xfId="2" applyFont="1" applyBorder="1" applyAlignment="1">
      <alignment horizontal="center" vertical="center"/>
    </xf>
    <xf numFmtId="0" fontId="12" fillId="0" borderId="26" xfId="2" applyFont="1" applyBorder="1" applyAlignment="1">
      <alignment vertical="center"/>
    </xf>
    <xf numFmtId="4" fontId="12" fillId="0" borderId="29" xfId="2" applyNumberFormat="1" applyFont="1" applyBorder="1" applyAlignment="1">
      <alignment vertical="center"/>
    </xf>
    <xf numFmtId="0" fontId="13" fillId="2" borderId="48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vertical="center"/>
    </xf>
    <xf numFmtId="4" fontId="13" fillId="2" borderId="29" xfId="2" applyNumberFormat="1" applyFont="1" applyFill="1" applyBorder="1" applyAlignment="1">
      <alignment vertical="center"/>
    </xf>
    <xf numFmtId="0" fontId="13" fillId="42" borderId="48" xfId="2" applyFont="1" applyFill="1" applyBorder="1" applyAlignment="1">
      <alignment horizontal="center" vertical="center"/>
    </xf>
    <xf numFmtId="0" fontId="12" fillId="42" borderId="26" xfId="2" applyFont="1" applyFill="1" applyBorder="1" applyAlignment="1">
      <alignment vertical="center"/>
    </xf>
    <xf numFmtId="0" fontId="12" fillId="42" borderId="28" xfId="2" applyFont="1" applyFill="1" applyBorder="1" applyAlignment="1">
      <alignment vertical="center"/>
    </xf>
    <xf numFmtId="4" fontId="12" fillId="42" borderId="29" xfId="2" applyNumberFormat="1" applyFont="1" applyFill="1" applyBorder="1" applyAlignment="1">
      <alignment vertical="center"/>
    </xf>
    <xf numFmtId="0" fontId="12" fillId="0" borderId="48" xfId="2" applyFont="1" applyBorder="1" applyAlignment="1">
      <alignment horizontal="center" vertical="center"/>
    </xf>
    <xf numFmtId="0" fontId="13" fillId="4" borderId="26" xfId="2" applyFont="1" applyFill="1" applyBorder="1" applyAlignment="1">
      <alignment vertical="center"/>
    </xf>
    <xf numFmtId="0" fontId="13" fillId="4" borderId="28" xfId="2" applyFont="1" applyFill="1" applyBorder="1" applyAlignment="1">
      <alignment vertical="center"/>
    </xf>
    <xf numFmtId="0" fontId="13" fillId="2" borderId="7" xfId="2" applyFont="1" applyFill="1" applyBorder="1" applyAlignment="1">
      <alignment vertical="center"/>
    </xf>
    <xf numFmtId="4" fontId="13" fillId="2" borderId="11" xfId="2" applyNumberFormat="1" applyFont="1" applyFill="1" applyBorder="1" applyAlignment="1">
      <alignment vertical="center"/>
    </xf>
    <xf numFmtId="0" fontId="13" fillId="0" borderId="27" xfId="2" applyFont="1" applyBorder="1" applyAlignment="1">
      <alignment vertical="center"/>
    </xf>
    <xf numFmtId="168" fontId="13" fillId="0" borderId="63" xfId="2" applyNumberFormat="1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168" fontId="13" fillId="0" borderId="29" xfId="2" applyNumberFormat="1" applyFont="1" applyBorder="1" applyAlignment="1">
      <alignment vertical="center"/>
    </xf>
    <xf numFmtId="4" fontId="13" fillId="2" borderId="18" xfId="2" applyNumberFormat="1" applyFont="1" applyFill="1" applyBorder="1" applyAlignment="1">
      <alignment vertical="center"/>
    </xf>
    <xf numFmtId="168" fontId="13" fillId="2" borderId="18" xfId="2" applyNumberFormat="1" applyFont="1" applyFill="1" applyBorder="1" applyAlignment="1">
      <alignment vertical="center"/>
    </xf>
    <xf numFmtId="4" fontId="13" fillId="2" borderId="43" xfId="2" applyNumberFormat="1" applyFont="1" applyFill="1" applyBorder="1" applyAlignment="1">
      <alignment vertical="center"/>
    </xf>
    <xf numFmtId="168" fontId="13" fillId="2" borderId="44" xfId="2" applyNumberFormat="1" applyFont="1" applyFill="1" applyBorder="1" applyAlignment="1">
      <alignment vertical="center"/>
    </xf>
    <xf numFmtId="0" fontId="6" fillId="0" borderId="14" xfId="4" applyFont="1" applyBorder="1"/>
    <xf numFmtId="0" fontId="4" fillId="0" borderId="14" xfId="4" applyBorder="1" applyAlignment="1">
      <alignment horizontal="center"/>
    </xf>
    <xf numFmtId="0" fontId="4" fillId="0" borderId="13" xfId="4" applyBorder="1"/>
    <xf numFmtId="169" fontId="4" fillId="0" borderId="13" xfId="4" applyNumberFormat="1" applyBorder="1"/>
    <xf numFmtId="1" fontId="4" fillId="0" borderId="14" xfId="4" applyNumberFormat="1" applyBorder="1"/>
    <xf numFmtId="169" fontId="12" fillId="0" borderId="13" xfId="49" applyFont="1" applyBorder="1"/>
    <xf numFmtId="0" fontId="4" fillId="0" borderId="58" xfId="4" applyBorder="1"/>
    <xf numFmtId="169" fontId="4" fillId="0" borderId="4" xfId="4" applyNumberFormat="1" applyBorder="1"/>
    <xf numFmtId="0" fontId="4" fillId="0" borderId="14" xfId="4" applyBorder="1"/>
    <xf numFmtId="0" fontId="4" fillId="0" borderId="0" xfId="4"/>
    <xf numFmtId="0" fontId="4" fillId="0" borderId="4" xfId="4" applyBorder="1"/>
    <xf numFmtId="0" fontId="6" fillId="0" borderId="14" xfId="4" applyFont="1" applyBorder="1" applyAlignment="1">
      <alignment horizontal="center"/>
    </xf>
    <xf numFmtId="0" fontId="6" fillId="0" borderId="13" xfId="4" applyFont="1" applyBorder="1"/>
    <xf numFmtId="0" fontId="6" fillId="0" borderId="58" xfId="4" applyFont="1" applyBorder="1"/>
    <xf numFmtId="0" fontId="6" fillId="0" borderId="4" xfId="4" applyFont="1" applyBorder="1"/>
    <xf numFmtId="0" fontId="6" fillId="0" borderId="0" xfId="4" applyFont="1"/>
    <xf numFmtId="0" fontId="46" fillId="43" borderId="14" xfId="4" applyFont="1" applyFill="1" applyBorder="1"/>
    <xf numFmtId="0" fontId="46" fillId="43" borderId="14" xfId="4" applyFont="1" applyFill="1" applyBorder="1" applyAlignment="1">
      <alignment horizontal="center"/>
    </xf>
    <xf numFmtId="0" fontId="46" fillId="43" borderId="13" xfId="4" applyFont="1" applyFill="1" applyBorder="1"/>
    <xf numFmtId="0" fontId="46" fillId="43" borderId="58" xfId="4" applyFont="1" applyFill="1" applyBorder="1"/>
    <xf numFmtId="0" fontId="46" fillId="43" borderId="4" xfId="4" applyFont="1" applyFill="1" applyBorder="1"/>
    <xf numFmtId="0" fontId="46" fillId="43" borderId="0" xfId="4" applyFont="1" applyFill="1"/>
    <xf numFmtId="0" fontId="4" fillId="0" borderId="0" xfId="4" applyAlignment="1">
      <alignment horizontal="center"/>
    </xf>
    <xf numFmtId="169" fontId="4" fillId="0" borderId="13" xfId="49" applyFont="1" applyBorder="1"/>
    <xf numFmtId="4" fontId="12" fillId="0" borderId="67" xfId="0" applyNumberFormat="1" applyFont="1" applyBorder="1"/>
    <xf numFmtId="0" fontId="13" fillId="0" borderId="14" xfId="2" applyFont="1" applyBorder="1" applyAlignment="1">
      <alignment horizontal="left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170" fontId="13" fillId="0" borderId="3" xfId="2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 wrapText="1"/>
    </xf>
    <xf numFmtId="17" fontId="13" fillId="0" borderId="12" xfId="2" applyNumberFormat="1" applyFont="1" applyBorder="1" applyAlignment="1">
      <alignment horizontal="center" vertical="center"/>
    </xf>
    <xf numFmtId="0" fontId="13" fillId="0" borderId="12" xfId="2" applyFont="1" applyBorder="1" applyAlignment="1">
      <alignment vertical="center" wrapText="1"/>
    </xf>
    <xf numFmtId="17" fontId="13" fillId="0" borderId="4" xfId="2" applyNumberFormat="1" applyFont="1" applyBorder="1" applyAlignment="1">
      <alignment horizontal="center" vertical="center"/>
    </xf>
    <xf numFmtId="170" fontId="13" fillId="0" borderId="3" xfId="2" applyNumberFormat="1" applyFont="1" applyBorder="1" applyAlignment="1">
      <alignment horizontal="center" vertical="center" wrapText="1"/>
    </xf>
    <xf numFmtId="0" fontId="12" fillId="0" borderId="21" xfId="4" applyFont="1" applyBorder="1"/>
    <xf numFmtId="3" fontId="12" fillId="0" borderId="14" xfId="4" applyNumberFormat="1" applyFont="1" applyBorder="1"/>
    <xf numFmtId="3" fontId="12" fillId="0" borderId="0" xfId="4" applyNumberFormat="1" applyFont="1" applyAlignment="1">
      <alignment horizontal="center"/>
    </xf>
    <xf numFmtId="3" fontId="12" fillId="0" borderId="14" xfId="4" applyNumberFormat="1" applyFont="1" applyBorder="1" applyAlignment="1">
      <alignment horizontal="center"/>
    </xf>
    <xf numFmtId="4" fontId="12" fillId="0" borderId="4" xfId="4" applyNumberFormat="1" applyFont="1" applyBorder="1"/>
    <xf numFmtId="0" fontId="12" fillId="0" borderId="5" xfId="4" applyFont="1" applyBorder="1"/>
    <xf numFmtId="0" fontId="4" fillId="0" borderId="28" xfId="4" applyBorder="1" applyAlignment="1">
      <alignment vertical="center"/>
    </xf>
    <xf numFmtId="0" fontId="4" fillId="0" borderId="28" xfId="4" applyBorder="1" applyAlignment="1">
      <alignment horizontal="center" vertical="center"/>
    </xf>
    <xf numFmtId="0" fontId="4" fillId="0" borderId="28" xfId="4" applyBorder="1" applyAlignment="1">
      <alignment vertical="center" wrapText="1"/>
    </xf>
    <xf numFmtId="4" fontId="4" fillId="0" borderId="28" xfId="4" applyNumberFormat="1" applyBorder="1" applyAlignment="1">
      <alignment vertical="center"/>
    </xf>
    <xf numFmtId="0" fontId="0" fillId="0" borderId="28" xfId="2" applyFont="1" applyBorder="1" applyAlignment="1">
      <alignment vertical="center"/>
    </xf>
    <xf numFmtId="1" fontId="4" fillId="0" borderId="28" xfId="4" applyNumberFormat="1" applyBorder="1" applyAlignment="1">
      <alignment horizontal="center" vertical="center"/>
    </xf>
    <xf numFmtId="0" fontId="4" fillId="0" borderId="28" xfId="4" quotePrefix="1" applyBorder="1" applyAlignment="1">
      <alignment horizontal="center" vertical="center"/>
    </xf>
    <xf numFmtId="0" fontId="47" fillId="0" borderId="28" xfId="4" applyFont="1" applyBorder="1" applyAlignment="1">
      <alignment vertical="center" wrapText="1"/>
    </xf>
    <xf numFmtId="0" fontId="48" fillId="0" borderId="28" xfId="4" applyFont="1" applyBorder="1" applyAlignment="1">
      <alignment vertical="center"/>
    </xf>
    <xf numFmtId="49" fontId="47" fillId="0" borderId="28" xfId="4" applyNumberFormat="1" applyFont="1" applyBorder="1" applyAlignment="1">
      <alignment vertical="center" wrapText="1"/>
    </xf>
    <xf numFmtId="3" fontId="4" fillId="0" borderId="28" xfId="4" applyNumberFormat="1" applyBorder="1" applyAlignment="1">
      <alignment horizontal="center" vertical="center"/>
    </xf>
    <xf numFmtId="1" fontId="4" fillId="0" borderId="28" xfId="4" applyNumberFormat="1" applyBorder="1" applyAlignment="1">
      <alignment vertical="center" wrapText="1"/>
    </xf>
    <xf numFmtId="0" fontId="12" fillId="0" borderId="20" xfId="0" applyFont="1" applyBorder="1"/>
    <xf numFmtId="164" fontId="12" fillId="0" borderId="16" xfId="0" applyNumberFormat="1" applyFont="1" applyBorder="1"/>
    <xf numFmtId="164" fontId="12" fillId="0" borderId="18" xfId="0" applyNumberFormat="1" applyFont="1" applyBorder="1"/>
    <xf numFmtId="14" fontId="12" fillId="0" borderId="58" xfId="4" applyNumberFormat="1" applyFont="1" applyBorder="1" applyAlignment="1">
      <alignment horizontal="center"/>
    </xf>
    <xf numFmtId="3" fontId="12" fillId="0" borderId="13" xfId="2" applyNumberFormat="1" applyFont="1" applyBorder="1" applyAlignment="1">
      <alignment horizontal="left" vertical="center"/>
    </xf>
    <xf numFmtId="3" fontId="12" fillId="0" borderId="13" xfId="4" applyNumberFormat="1" applyFont="1" applyBorder="1" applyAlignment="1">
      <alignment horizontal="left"/>
    </xf>
    <xf numFmtId="0" fontId="12" fillId="0" borderId="56" xfId="4" applyFont="1" applyBorder="1" applyAlignment="1">
      <alignment horizontal="center" wrapText="1"/>
    </xf>
    <xf numFmtId="0" fontId="12" fillId="0" borderId="49" xfId="0" applyFont="1" applyBorder="1"/>
    <xf numFmtId="0" fontId="12" fillId="0" borderId="0" xfId="0" applyFont="1" applyBorder="1" applyAlignment="1">
      <alignment wrapText="1"/>
    </xf>
    <xf numFmtId="0" fontId="12" fillId="0" borderId="92" xfId="0" applyFont="1" applyBorder="1"/>
    <xf numFmtId="0" fontId="12" fillId="0" borderId="61" xfId="2" applyFont="1" applyBorder="1" applyAlignment="1">
      <alignment horizontal="left" vertical="center"/>
    </xf>
    <xf numFmtId="0" fontId="12" fillId="0" borderId="55" xfId="2" applyFont="1" applyBorder="1" applyAlignment="1">
      <alignment horizontal="left" vertical="center"/>
    </xf>
    <xf numFmtId="0" fontId="12" fillId="0" borderId="58" xfId="2" applyFont="1" applyBorder="1" applyAlignment="1">
      <alignment horizontal="left" vertical="center"/>
    </xf>
    <xf numFmtId="0" fontId="12" fillId="0" borderId="57" xfId="2" applyFont="1" applyBorder="1" applyAlignment="1">
      <alignment horizontal="left" vertical="center"/>
    </xf>
    <xf numFmtId="0" fontId="12" fillId="0" borderId="58" xfId="4" applyFont="1" applyBorder="1"/>
    <xf numFmtId="0" fontId="12" fillId="0" borderId="57" xfId="4" applyFont="1" applyBorder="1" applyAlignment="1">
      <alignment horizontal="left"/>
    </xf>
    <xf numFmtId="49" fontId="12" fillId="0" borderId="57" xfId="4" applyNumberFormat="1" applyFont="1" applyBorder="1" applyAlignment="1">
      <alignment horizontal="left"/>
    </xf>
    <xf numFmtId="0" fontId="12" fillId="0" borderId="95" xfId="0" applyFont="1" applyBorder="1"/>
    <xf numFmtId="0" fontId="11" fillId="0" borderId="0" xfId="49" applyNumberFormat="1" applyFont="1" applyFill="1" applyAlignment="1">
      <alignment horizontal="center" vertical="center"/>
    </xf>
    <xf numFmtId="169" fontId="11" fillId="0" borderId="0" xfId="49" applyFont="1" applyFill="1" applyAlignment="1">
      <alignment vertical="center"/>
    </xf>
    <xf numFmtId="0" fontId="18" fillId="0" borderId="0" xfId="4" applyFont="1"/>
    <xf numFmtId="0" fontId="11" fillId="5" borderId="0" xfId="4" applyFont="1" applyFill="1"/>
    <xf numFmtId="0" fontId="11" fillId="5" borderId="0" xfId="49" applyNumberFormat="1" applyFont="1" applyFill="1" applyAlignment="1">
      <alignment horizontal="center"/>
    </xf>
    <xf numFmtId="169" fontId="11" fillId="5" borderId="0" xfId="49" applyFont="1" applyFill="1"/>
    <xf numFmtId="0" fontId="12" fillId="0" borderId="0" xfId="49" applyNumberFormat="1" applyFont="1" applyAlignment="1">
      <alignment horizontal="center" vertical="center"/>
    </xf>
    <xf numFmtId="169" fontId="12" fillId="0" borderId="0" xfId="49" applyFont="1" applyAlignment="1">
      <alignment vertical="center"/>
    </xf>
    <xf numFmtId="169" fontId="13" fillId="0" borderId="0" xfId="49" applyFont="1" applyFill="1" applyBorder="1" applyAlignment="1">
      <alignment horizontal="center" vertical="center"/>
    </xf>
    <xf numFmtId="0" fontId="12" fillId="5" borderId="0" xfId="4" applyFont="1" applyFill="1"/>
    <xf numFmtId="0" fontId="49" fillId="7" borderId="12" xfId="2" applyFont="1" applyFill="1" applyBorder="1" applyAlignment="1">
      <alignment horizontal="center" vertical="center"/>
    </xf>
    <xf numFmtId="0" fontId="49" fillId="5" borderId="0" xfId="2" applyFont="1" applyFill="1" applyAlignment="1">
      <alignment horizontal="center" vertical="center"/>
    </xf>
    <xf numFmtId="0" fontId="49" fillId="7" borderId="66" xfId="2" applyFont="1" applyFill="1" applyBorder="1" applyAlignment="1">
      <alignment horizontal="center" vertical="center" wrapText="1"/>
    </xf>
    <xf numFmtId="0" fontId="50" fillId="7" borderId="30" xfId="49" applyNumberFormat="1" applyFont="1" applyFill="1" applyBorder="1" applyAlignment="1">
      <alignment horizontal="center" vertical="center" textRotation="90" wrapText="1"/>
    </xf>
    <xf numFmtId="0" fontId="50" fillId="7" borderId="68" xfId="2" applyFont="1" applyFill="1" applyBorder="1" applyAlignment="1">
      <alignment horizontal="center" vertical="center" textRotation="90" wrapText="1"/>
    </xf>
    <xf numFmtId="169" fontId="50" fillId="7" borderId="32" xfId="49" applyFont="1" applyFill="1" applyBorder="1" applyAlignment="1">
      <alignment horizontal="center" vertical="center" textRotation="90" wrapText="1"/>
    </xf>
    <xf numFmtId="0" fontId="50" fillId="7" borderId="32" xfId="2" applyFont="1" applyFill="1" applyBorder="1" applyAlignment="1">
      <alignment horizontal="center" vertical="center" textRotation="90" wrapText="1"/>
    </xf>
    <xf numFmtId="0" fontId="49" fillId="7" borderId="32" xfId="2" applyFont="1" applyFill="1" applyBorder="1" applyAlignment="1">
      <alignment horizontal="center" vertical="center" textRotation="90" wrapText="1"/>
    </xf>
    <xf numFmtId="169" fontId="49" fillId="7" borderId="33" xfId="49" applyFont="1" applyFill="1" applyBorder="1" applyAlignment="1">
      <alignment horizontal="center" vertical="center" textRotation="90" wrapText="1"/>
    </xf>
    <xf numFmtId="169" fontId="49" fillId="7" borderId="31" xfId="49" applyFont="1" applyFill="1" applyBorder="1" applyAlignment="1">
      <alignment horizontal="center" vertical="center" textRotation="90" wrapText="1"/>
    </xf>
    <xf numFmtId="0" fontId="50" fillId="7" borderId="30" xfId="2" applyFont="1" applyFill="1" applyBorder="1" applyAlignment="1">
      <alignment horizontal="center" vertical="center" textRotation="90" wrapText="1"/>
    </xf>
    <xf numFmtId="0" fontId="49" fillId="7" borderId="33" xfId="2" applyFont="1" applyFill="1" applyBorder="1" applyAlignment="1">
      <alignment horizontal="center" vertical="center" textRotation="90" wrapText="1"/>
    </xf>
    <xf numFmtId="0" fontId="49" fillId="7" borderId="31" xfId="2" applyFont="1" applyFill="1" applyBorder="1" applyAlignment="1">
      <alignment horizontal="center" vertical="center" textRotation="90" wrapText="1"/>
    </xf>
    <xf numFmtId="0" fontId="49" fillId="5" borderId="0" xfId="2" applyFont="1" applyFill="1" applyAlignment="1">
      <alignment horizontal="center" vertical="center" textRotation="90" wrapText="1"/>
    </xf>
    <xf numFmtId="4" fontId="51" fillId="2" borderId="48" xfId="2" applyNumberFormat="1" applyFont="1" applyFill="1" applyBorder="1" applyAlignment="1">
      <alignment horizontal="center" vertical="center"/>
    </xf>
    <xf numFmtId="0" fontId="51" fillId="2" borderId="26" xfId="49" applyNumberFormat="1" applyFont="1" applyFill="1" applyBorder="1" applyAlignment="1">
      <alignment horizontal="center" vertical="center"/>
    </xf>
    <xf numFmtId="169" fontId="51" fillId="2" borderId="28" xfId="49" applyFont="1" applyFill="1" applyBorder="1" applyAlignment="1">
      <alignment horizontal="center" vertical="center"/>
    </xf>
    <xf numFmtId="4" fontId="51" fillId="2" borderId="28" xfId="49" applyNumberFormat="1" applyFont="1" applyFill="1" applyBorder="1" applyAlignment="1">
      <alignment horizontal="center" vertical="center"/>
    </xf>
    <xf numFmtId="4" fontId="51" fillId="2" borderId="29" xfId="49" applyNumberFormat="1" applyFont="1" applyFill="1" applyBorder="1" applyAlignment="1">
      <alignment horizontal="center" vertical="center"/>
    </xf>
    <xf numFmtId="0" fontId="51" fillId="2" borderId="28" xfId="49" applyNumberFormat="1" applyFont="1" applyFill="1" applyBorder="1" applyAlignment="1">
      <alignment horizontal="center" vertical="center"/>
    </xf>
    <xf numFmtId="4" fontId="51" fillId="5" borderId="0" xfId="2" applyNumberFormat="1" applyFont="1" applyFill="1" applyAlignment="1">
      <alignment vertical="center"/>
    </xf>
    <xf numFmtId="4" fontId="52" fillId="0" borderId="48" xfId="2" applyNumberFormat="1" applyFont="1" applyBorder="1" applyAlignment="1">
      <alignment horizontal="center" vertical="center"/>
    </xf>
    <xf numFmtId="0" fontId="52" fillId="0" borderId="26" xfId="49" applyNumberFormat="1" applyFont="1" applyBorder="1" applyAlignment="1">
      <alignment horizontal="center" vertical="center"/>
    </xf>
    <xf numFmtId="169" fontId="52" fillId="0" borderId="28" xfId="49" applyFont="1" applyBorder="1" applyAlignment="1">
      <alignment vertical="center"/>
    </xf>
    <xf numFmtId="4" fontId="52" fillId="0" borderId="28" xfId="2" applyNumberFormat="1" applyFont="1" applyBorder="1" applyAlignment="1">
      <alignment vertical="center"/>
    </xf>
    <xf numFmtId="4" fontId="52" fillId="0" borderId="28" xfId="49" applyNumberFormat="1" applyFont="1" applyBorder="1" applyAlignment="1">
      <alignment vertical="center"/>
    </xf>
    <xf numFmtId="4" fontId="52" fillId="0" borderId="29" xfId="49" applyNumberFormat="1" applyFont="1" applyBorder="1" applyAlignment="1">
      <alignment vertical="center"/>
    </xf>
    <xf numFmtId="0" fontId="52" fillId="0" borderId="28" xfId="2" applyFont="1" applyBorder="1" applyAlignment="1">
      <alignment vertical="center"/>
    </xf>
    <xf numFmtId="4" fontId="52" fillId="5" borderId="0" xfId="4" applyNumberFormat="1" applyFont="1" applyFill="1"/>
    <xf numFmtId="4" fontId="51" fillId="4" borderId="48" xfId="2" applyNumberFormat="1" applyFont="1" applyFill="1" applyBorder="1" applyAlignment="1">
      <alignment horizontal="center" vertical="center"/>
    </xf>
    <xf numFmtId="169" fontId="52" fillId="0" borderId="48" xfId="49" applyFont="1" applyFill="1" applyBorder="1" applyAlignment="1">
      <alignment horizontal="center" vertical="center"/>
    </xf>
    <xf numFmtId="0" fontId="52" fillId="0" borderId="26" xfId="49" applyNumberFormat="1" applyFont="1" applyFill="1" applyBorder="1" applyAlignment="1">
      <alignment horizontal="center" vertical="center"/>
    </xf>
    <xf numFmtId="169" fontId="52" fillId="4" borderId="48" xfId="49" applyFont="1" applyFill="1" applyBorder="1" applyAlignment="1">
      <alignment horizontal="center" vertical="center"/>
    </xf>
    <xf numFmtId="4" fontId="52" fillId="4" borderId="29" xfId="49" applyNumberFormat="1" applyFont="1" applyFill="1" applyBorder="1" applyAlignment="1">
      <alignment horizontal="center" vertical="center"/>
    </xf>
    <xf numFmtId="169" fontId="52" fillId="4" borderId="28" xfId="49" applyFont="1" applyFill="1" applyBorder="1" applyAlignment="1">
      <alignment vertical="center"/>
    </xf>
    <xf numFmtId="0" fontId="52" fillId="4" borderId="29" xfId="49" applyNumberFormat="1" applyFont="1" applyFill="1" applyBorder="1" applyAlignment="1">
      <alignment horizontal="center" vertical="center"/>
    </xf>
    <xf numFmtId="4" fontId="52" fillId="4" borderId="28" xfId="2" applyNumberFormat="1" applyFont="1" applyFill="1" applyBorder="1" applyAlignment="1">
      <alignment vertical="center"/>
    </xf>
    <xf numFmtId="169" fontId="52" fillId="4" borderId="26" xfId="49" applyFont="1" applyFill="1" applyBorder="1" applyAlignment="1">
      <alignment horizontal="center" vertical="center"/>
    </xf>
    <xf numFmtId="0" fontId="52" fillId="4" borderId="26" xfId="49" applyNumberFormat="1" applyFont="1" applyFill="1" applyBorder="1" applyAlignment="1">
      <alignment horizontal="center" vertical="center"/>
    </xf>
    <xf numFmtId="0" fontId="52" fillId="4" borderId="28" xfId="2" applyFont="1" applyFill="1" applyBorder="1" applyAlignment="1">
      <alignment vertical="center"/>
    </xf>
    <xf numFmtId="4" fontId="52" fillId="4" borderId="28" xfId="49" applyNumberFormat="1" applyFont="1" applyFill="1" applyBorder="1" applyAlignment="1">
      <alignment vertical="center"/>
    </xf>
    <xf numFmtId="169" fontId="53" fillId="3" borderId="48" xfId="49" applyFont="1" applyFill="1" applyBorder="1" applyAlignment="1">
      <alignment vertical="center"/>
    </xf>
    <xf numFmtId="169" fontId="51" fillId="3" borderId="29" xfId="49" applyFont="1" applyFill="1" applyBorder="1" applyAlignment="1">
      <alignment horizontal="center" vertical="center"/>
    </xf>
    <xf numFmtId="0" fontId="51" fillId="3" borderId="29" xfId="49" applyNumberFormat="1" applyFont="1" applyFill="1" applyBorder="1" applyAlignment="1">
      <alignment horizontal="center" vertical="center"/>
    </xf>
    <xf numFmtId="169" fontId="51" fillId="5" borderId="0" xfId="49" applyFont="1" applyFill="1" applyBorder="1"/>
    <xf numFmtId="0" fontId="44" fillId="0" borderId="0" xfId="2" applyFont="1" applyAlignment="1">
      <alignment vertical="center"/>
    </xf>
    <xf numFmtId="0" fontId="45" fillId="0" borderId="0" xfId="49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169" fontId="45" fillId="0" borderId="0" xfId="49" applyFont="1" applyFill="1" applyBorder="1" applyAlignment="1">
      <alignment vertical="center"/>
    </xf>
    <xf numFmtId="0" fontId="44" fillId="0" borderId="0" xfId="4" applyFont="1"/>
    <xf numFmtId="0" fontId="44" fillId="5" borderId="0" xfId="4" applyFont="1" applyFill="1"/>
    <xf numFmtId="0" fontId="44" fillId="0" borderId="0" xfId="49" applyNumberFormat="1" applyFont="1" applyFill="1" applyBorder="1" applyAlignment="1">
      <alignment horizontal="center" vertical="center"/>
    </xf>
    <xf numFmtId="169" fontId="44" fillId="0" borderId="0" xfId="49" applyFont="1" applyFill="1" applyBorder="1" applyAlignment="1">
      <alignment vertical="center"/>
    </xf>
    <xf numFmtId="4" fontId="51" fillId="0" borderId="0" xfId="49" applyNumberFormat="1" applyFont="1" applyFill="1" applyBorder="1" applyAlignment="1">
      <alignment horizontal="center" vertical="center"/>
    </xf>
    <xf numFmtId="0" fontId="44" fillId="0" borderId="0" xfId="49" applyNumberFormat="1" applyFont="1" applyFill="1" applyBorder="1" applyAlignment="1">
      <alignment vertical="center"/>
    </xf>
    <xf numFmtId="169" fontId="44" fillId="0" borderId="0" xfId="4" applyNumberFormat="1" applyFont="1"/>
    <xf numFmtId="0" fontId="6" fillId="0" borderId="0" xfId="3" applyNumberFormat="1" applyFont="1" applyAlignment="1">
      <alignment horizontal="center" vertical="center"/>
    </xf>
    <xf numFmtId="49" fontId="6" fillId="0" borderId="0" xfId="3" applyFont="1" applyAlignment="1">
      <alignment vertical="center"/>
    </xf>
    <xf numFmtId="0" fontId="6" fillId="0" borderId="0" xfId="49" applyNumberFormat="1" applyFont="1" applyFill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4" fillId="0" borderId="0" xfId="3" applyNumberFormat="1" applyFont="1" applyAlignment="1">
      <alignment horizontal="center" vertical="center"/>
    </xf>
    <xf numFmtId="0" fontId="4" fillId="0" borderId="0" xfId="49" applyNumberFormat="1" applyFont="1" applyAlignment="1">
      <alignment horizontal="center"/>
    </xf>
    <xf numFmtId="49" fontId="4" fillId="0" borderId="0" xfId="3" applyFont="1" applyAlignment="1">
      <alignment vertical="center"/>
    </xf>
    <xf numFmtId="0" fontId="4" fillId="0" borderId="0" xfId="4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 wrapText="1"/>
    </xf>
    <xf numFmtId="0" fontId="6" fillId="7" borderId="12" xfId="49" applyNumberFormat="1" applyFont="1" applyFill="1" applyBorder="1" applyAlignment="1">
      <alignment horizontal="center" vertical="center" wrapText="1"/>
    </xf>
    <xf numFmtId="0" fontId="4" fillId="0" borderId="48" xfId="2" applyFont="1" applyBorder="1" applyAlignment="1">
      <alignment horizontal="left" vertical="center"/>
    </xf>
    <xf numFmtId="0" fontId="6" fillId="0" borderId="48" xfId="49" applyNumberFormat="1" applyFont="1" applyFill="1" applyBorder="1" applyAlignment="1">
      <alignment horizontal="center" vertical="center"/>
    </xf>
    <xf numFmtId="171" fontId="4" fillId="0" borderId="48" xfId="49" applyNumberFormat="1" applyFont="1" applyFill="1" applyBorder="1" applyAlignment="1">
      <alignment horizontal="center" vertical="center"/>
    </xf>
    <xf numFmtId="171" fontId="6" fillId="0" borderId="48" xfId="49" applyNumberFormat="1" applyFont="1" applyFill="1" applyBorder="1" applyAlignment="1">
      <alignment vertical="center"/>
    </xf>
    <xf numFmtId="0" fontId="4" fillId="0" borderId="93" xfId="2" applyFont="1" applyBorder="1" applyAlignment="1">
      <alignment horizontal="left" vertical="center" wrapText="1"/>
    </xf>
    <xf numFmtId="1" fontId="6" fillId="0" borderId="93" xfId="49" applyNumberFormat="1" applyFont="1" applyFill="1" applyBorder="1" applyAlignment="1">
      <alignment horizontal="center" vertical="center"/>
    </xf>
    <xf numFmtId="171" fontId="6" fillId="0" borderId="93" xfId="49" applyNumberFormat="1" applyFont="1" applyFill="1" applyBorder="1" applyAlignment="1">
      <alignment vertical="center"/>
    </xf>
    <xf numFmtId="0" fontId="6" fillId="0" borderId="93" xfId="49" applyNumberFormat="1" applyFont="1" applyFill="1" applyBorder="1" applyAlignment="1">
      <alignment horizontal="center" vertical="center"/>
    </xf>
    <xf numFmtId="0" fontId="6" fillId="2" borderId="15" xfId="49" applyNumberFormat="1" applyFont="1" applyFill="1" applyBorder="1" applyAlignment="1">
      <alignment horizontal="center" vertical="center"/>
    </xf>
    <xf numFmtId="171" fontId="6" fillId="2" borderId="44" xfId="49" applyNumberFormat="1" applyFont="1" applyFill="1" applyBorder="1" applyAlignment="1">
      <alignment vertical="center"/>
    </xf>
    <xf numFmtId="0" fontId="6" fillId="2" borderId="44" xfId="49" applyNumberFormat="1" applyFont="1" applyFill="1" applyBorder="1" applyAlignment="1">
      <alignment horizontal="center" vertical="center"/>
    </xf>
    <xf numFmtId="171" fontId="6" fillId="2" borderId="43" xfId="49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6" fillId="0" borderId="0" xfId="49" applyNumberFormat="1" applyFont="1" applyFill="1" applyBorder="1" applyAlignment="1">
      <alignment horizontal="center" vertical="center"/>
    </xf>
    <xf numFmtId="169" fontId="51" fillId="5" borderId="0" xfId="49" applyFont="1" applyFill="1" applyAlignment="1">
      <alignment horizontal="left"/>
    </xf>
    <xf numFmtId="0" fontId="52" fillId="5" borderId="0" xfId="49" applyNumberFormat="1" applyFont="1" applyFill="1" applyAlignment="1">
      <alignment horizontal="center" vertical="center"/>
    </xf>
    <xf numFmtId="169" fontId="52" fillId="5" borderId="0" xfId="49" applyFont="1" applyFill="1" applyAlignment="1">
      <alignment horizontal="right"/>
    </xf>
    <xf numFmtId="169" fontId="51" fillId="5" borderId="0" xfId="49" applyFont="1" applyFill="1" applyAlignment="1">
      <alignment horizontal="right"/>
    </xf>
    <xf numFmtId="0" fontId="52" fillId="5" borderId="0" xfId="49" applyNumberFormat="1" applyFont="1" applyFill="1" applyAlignment="1">
      <alignment horizontal="center"/>
    </xf>
    <xf numFmtId="169" fontId="52" fillId="5" borderId="0" xfId="49" applyFont="1" applyFill="1"/>
    <xf numFmtId="169" fontId="52" fillId="5" borderId="0" xfId="49" applyFont="1" applyFill="1" applyAlignment="1">
      <alignment horizontal="center"/>
    </xf>
    <xf numFmtId="169" fontId="52" fillId="0" borderId="0" xfId="49" applyFont="1" applyFill="1"/>
    <xf numFmtId="169" fontId="51" fillId="5" borderId="0" xfId="49" applyFont="1" applyFill="1" applyAlignment="1">
      <alignment horizontal="left" vertical="center"/>
    </xf>
    <xf numFmtId="0" fontId="51" fillId="5" borderId="0" xfId="49" applyNumberFormat="1" applyFont="1" applyFill="1" applyAlignment="1">
      <alignment horizontal="center" vertical="center"/>
    </xf>
    <xf numFmtId="169" fontId="51" fillId="5" borderId="0" xfId="49" applyFont="1" applyFill="1" applyAlignment="1">
      <alignment horizontal="right" vertical="center"/>
    </xf>
    <xf numFmtId="169" fontId="51" fillId="5" borderId="0" xfId="49" applyFont="1" applyFill="1" applyAlignment="1">
      <alignment vertical="center"/>
    </xf>
    <xf numFmtId="169" fontId="51" fillId="5" borderId="0" xfId="49" applyFont="1" applyFill="1" applyAlignment="1">
      <alignment horizontal="center" vertical="center"/>
    </xf>
    <xf numFmtId="169" fontId="51" fillId="0" borderId="0" xfId="49" applyFont="1" applyFill="1" applyAlignment="1">
      <alignment vertical="center"/>
    </xf>
    <xf numFmtId="0" fontId="51" fillId="5" borderId="0" xfId="49" applyNumberFormat="1" applyFont="1" applyFill="1" applyAlignment="1">
      <alignment horizontal="center"/>
    </xf>
    <xf numFmtId="169" fontId="51" fillId="5" borderId="0" xfId="49" applyFont="1" applyFill="1"/>
    <xf numFmtId="169" fontId="51" fillId="5" borderId="0" xfId="49" applyFont="1" applyFill="1" applyAlignment="1">
      <alignment horizontal="center"/>
    </xf>
    <xf numFmtId="169" fontId="51" fillId="0" borderId="0" xfId="49" applyFont="1" applyFill="1"/>
    <xf numFmtId="0" fontId="51" fillId="7" borderId="12" xfId="49" applyNumberFormat="1" applyFont="1" applyFill="1" applyBorder="1" applyAlignment="1">
      <alignment horizontal="center" vertical="center" textRotation="90" wrapText="1"/>
    </xf>
    <xf numFmtId="169" fontId="51" fillId="7" borderId="61" xfId="49" applyFont="1" applyFill="1" applyBorder="1" applyAlignment="1">
      <alignment horizontal="center" vertical="center" textRotation="90" wrapText="1"/>
    </xf>
    <xf numFmtId="169" fontId="51" fillId="7" borderId="50" xfId="49" applyFont="1" applyFill="1" applyBorder="1" applyAlignment="1">
      <alignment horizontal="center" vertical="center" textRotation="90" wrapText="1"/>
    </xf>
    <xf numFmtId="169" fontId="51" fillId="7" borderId="79" xfId="49" applyFont="1" applyFill="1" applyBorder="1" applyAlignment="1">
      <alignment horizontal="center" vertical="center" textRotation="90" wrapText="1"/>
    </xf>
    <xf numFmtId="0" fontId="51" fillId="7" borderId="21" xfId="49" applyNumberFormat="1" applyFont="1" applyFill="1" applyBorder="1" applyAlignment="1">
      <alignment horizontal="center" vertical="center" textRotation="90" wrapText="1"/>
    </xf>
    <xf numFmtId="169" fontId="51" fillId="7" borderId="55" xfId="49" applyFont="1" applyFill="1" applyBorder="1" applyAlignment="1">
      <alignment horizontal="center" vertical="center" textRotation="90" wrapText="1"/>
    </xf>
    <xf numFmtId="169" fontId="51" fillId="7" borderId="21" xfId="49" applyFont="1" applyFill="1" applyBorder="1" applyAlignment="1">
      <alignment horizontal="center" vertical="center" textRotation="90" wrapText="1"/>
    </xf>
    <xf numFmtId="169" fontId="51" fillId="7" borderId="4" xfId="49" applyFont="1" applyFill="1" applyBorder="1" applyAlignment="1">
      <alignment horizontal="center" vertical="center" textRotation="90" wrapText="1"/>
    </xf>
    <xf numFmtId="0" fontId="51" fillId="7" borderId="14" xfId="49" applyNumberFormat="1" applyFont="1" applyFill="1" applyBorder="1" applyAlignment="1">
      <alignment horizontal="center" vertical="center" textRotation="90" wrapText="1"/>
    </xf>
    <xf numFmtId="0" fontId="51" fillId="7" borderId="14" xfId="49" applyNumberFormat="1" applyFont="1" applyFill="1" applyBorder="1" applyAlignment="1">
      <alignment horizontal="center" vertical="center"/>
    </xf>
    <xf numFmtId="169" fontId="51" fillId="7" borderId="58" xfId="49" applyFont="1" applyFill="1" applyBorder="1" applyAlignment="1">
      <alignment horizontal="right" vertical="center"/>
    </xf>
    <xf numFmtId="169" fontId="51" fillId="7" borderId="51" xfId="49" applyFont="1" applyFill="1" applyBorder="1" applyAlignment="1">
      <alignment horizontal="right" vertical="center"/>
    </xf>
    <xf numFmtId="169" fontId="51" fillId="7" borderId="51" xfId="49" quotePrefix="1" applyFont="1" applyFill="1" applyBorder="1" applyAlignment="1">
      <alignment horizontal="right" vertical="center"/>
    </xf>
    <xf numFmtId="169" fontId="51" fillId="7" borderId="56" xfId="49" quotePrefix="1" applyFont="1" applyFill="1" applyBorder="1" applyAlignment="1">
      <alignment horizontal="right" vertical="center"/>
    </xf>
    <xf numFmtId="169" fontId="51" fillId="7" borderId="58" xfId="49" quotePrefix="1" applyFont="1" applyFill="1" applyBorder="1" applyAlignment="1">
      <alignment horizontal="right" vertical="center"/>
    </xf>
    <xf numFmtId="0" fontId="51" fillId="7" borderId="4" xfId="49" applyNumberFormat="1" applyFont="1" applyFill="1" applyBorder="1" applyAlignment="1">
      <alignment horizontal="center" vertical="center"/>
    </xf>
    <xf numFmtId="169" fontId="51" fillId="7" borderId="51" xfId="49" applyFont="1" applyFill="1" applyBorder="1" applyAlignment="1">
      <alignment horizontal="center" vertical="center"/>
    </xf>
    <xf numFmtId="169" fontId="51" fillId="7" borderId="51" xfId="49" quotePrefix="1" applyFont="1" applyFill="1" applyBorder="1" applyAlignment="1">
      <alignment horizontal="center" vertical="center"/>
    </xf>
    <xf numFmtId="169" fontId="51" fillId="7" borderId="57" xfId="49" quotePrefix="1" applyFont="1" applyFill="1" applyBorder="1" applyAlignment="1">
      <alignment horizontal="center" vertical="center"/>
    </xf>
    <xf numFmtId="169" fontId="51" fillId="7" borderId="58" xfId="49" quotePrefix="1" applyFont="1" applyFill="1" applyBorder="1" applyAlignment="1">
      <alignment horizontal="center" vertical="center"/>
    </xf>
    <xf numFmtId="169" fontId="51" fillId="7" borderId="4" xfId="49" quotePrefix="1" applyFont="1" applyFill="1" applyBorder="1" applyAlignment="1">
      <alignment horizontal="center" vertical="center"/>
    </xf>
    <xf numFmtId="169" fontId="51" fillId="7" borderId="4" xfId="49" applyFont="1" applyFill="1" applyBorder="1" applyAlignment="1">
      <alignment horizontal="center" vertical="center"/>
    </xf>
    <xf numFmtId="169" fontId="51" fillId="7" borderId="14" xfId="49" applyFont="1" applyFill="1" applyBorder="1" applyAlignment="1">
      <alignment horizontal="center" vertical="center"/>
    </xf>
    <xf numFmtId="169" fontId="52" fillId="0" borderId="48" xfId="49" applyFont="1" applyBorder="1" applyAlignment="1">
      <alignment horizontal="center"/>
    </xf>
    <xf numFmtId="0" fontId="52" fillId="0" borderId="27" xfId="49" applyNumberFormat="1" applyFont="1" applyBorder="1" applyAlignment="1">
      <alignment horizontal="center" vertical="center"/>
    </xf>
    <xf numFmtId="4" fontId="52" fillId="0" borderId="28" xfId="49" applyNumberFormat="1" applyFont="1" applyBorder="1" applyAlignment="1">
      <alignment horizontal="center"/>
    </xf>
    <xf numFmtId="169" fontId="52" fillId="0" borderId="28" xfId="49" applyFont="1" applyBorder="1" applyAlignment="1">
      <alignment horizontal="center"/>
    </xf>
    <xf numFmtId="169" fontId="52" fillId="0" borderId="28" xfId="49" applyFont="1" applyFill="1" applyBorder="1" applyAlignment="1">
      <alignment horizontal="center"/>
    </xf>
    <xf numFmtId="169" fontId="52" fillId="0" borderId="29" xfId="49" applyFont="1" applyBorder="1" applyAlignment="1">
      <alignment horizontal="center"/>
    </xf>
    <xf numFmtId="169" fontId="52" fillId="0" borderId="27" xfId="49" applyFont="1" applyBorder="1" applyAlignment="1">
      <alignment horizontal="center"/>
    </xf>
    <xf numFmtId="0" fontId="52" fillId="0" borderId="28" xfId="49" applyNumberFormat="1" applyFont="1" applyBorder="1" applyAlignment="1">
      <alignment horizontal="center" vertical="center"/>
    </xf>
    <xf numFmtId="169" fontId="51" fillId="3" borderId="48" xfId="49" applyFont="1" applyFill="1" applyBorder="1" applyAlignment="1">
      <alignment horizontal="center" vertical="center"/>
    </xf>
    <xf numFmtId="0" fontId="51" fillId="3" borderId="27" xfId="49" applyNumberFormat="1" applyFont="1" applyFill="1" applyBorder="1" applyAlignment="1">
      <alignment horizontal="center" vertical="center"/>
    </xf>
    <xf numFmtId="4" fontId="51" fillId="3" borderId="28" xfId="49" applyNumberFormat="1" applyFont="1" applyFill="1" applyBorder="1" applyAlignment="1">
      <alignment horizontal="center" vertical="center"/>
    </xf>
    <xf numFmtId="4" fontId="51" fillId="3" borderId="29" xfId="49" applyNumberFormat="1" applyFont="1" applyFill="1" applyBorder="1" applyAlignment="1">
      <alignment horizontal="center" vertical="center"/>
    </xf>
    <xf numFmtId="4" fontId="51" fillId="3" borderId="27" xfId="49" applyNumberFormat="1" applyFont="1" applyFill="1" applyBorder="1" applyAlignment="1">
      <alignment horizontal="center" vertical="center"/>
    </xf>
    <xf numFmtId="0" fontId="51" fillId="3" borderId="28" xfId="49" applyNumberFormat="1" applyFont="1" applyFill="1" applyBorder="1" applyAlignment="1">
      <alignment horizontal="center" vertical="center"/>
    </xf>
    <xf numFmtId="169" fontId="52" fillId="0" borderId="48" xfId="49" applyFont="1" applyBorder="1" applyAlignment="1">
      <alignment horizontal="center" vertical="center"/>
    </xf>
    <xf numFmtId="0" fontId="52" fillId="0" borderId="27" xfId="4" applyFont="1" applyBorder="1" applyAlignment="1">
      <alignment horizontal="center" vertical="center"/>
    </xf>
    <xf numFmtId="4" fontId="54" fillId="0" borderId="28" xfId="4" applyNumberFormat="1" applyFont="1" applyBorder="1" applyAlignment="1">
      <alignment horizontal="center"/>
    </xf>
    <xf numFmtId="4" fontId="52" fillId="0" borderId="28" xfId="49" applyNumberFormat="1" applyFont="1" applyFill="1" applyBorder="1" applyAlignment="1">
      <alignment horizontal="center"/>
    </xf>
    <xf numFmtId="4" fontId="52" fillId="0" borderId="28" xfId="49" applyNumberFormat="1" applyFont="1" applyFill="1" applyBorder="1" applyAlignment="1">
      <alignment horizontal="center" vertical="center"/>
    </xf>
    <xf numFmtId="4" fontId="52" fillId="0" borderId="29" xfId="49" applyNumberFormat="1" applyFont="1" applyBorder="1" applyAlignment="1">
      <alignment horizontal="center"/>
    </xf>
    <xf numFmtId="4" fontId="52" fillId="0" borderId="27" xfId="49" applyNumberFormat="1" applyFont="1" applyBorder="1" applyAlignment="1">
      <alignment horizontal="center"/>
    </xf>
    <xf numFmtId="0" fontId="52" fillId="0" borderId="28" xfId="4" applyFont="1" applyBorder="1" applyAlignment="1">
      <alignment horizontal="center" vertical="center"/>
    </xf>
    <xf numFmtId="169" fontId="51" fillId="0" borderId="48" xfId="49" applyFont="1" applyBorder="1" applyAlignment="1">
      <alignment horizontal="center" vertical="center"/>
    </xf>
    <xf numFmtId="0" fontId="52" fillId="0" borderId="27" xfId="49" applyNumberFormat="1" applyFont="1" applyFill="1" applyBorder="1" applyAlignment="1">
      <alignment horizontal="center" vertical="center"/>
    </xf>
    <xf numFmtId="0" fontId="52" fillId="0" borderId="28" xfId="49" applyNumberFormat="1" applyFont="1" applyFill="1" applyBorder="1" applyAlignment="1">
      <alignment horizontal="center" vertical="center"/>
    </xf>
    <xf numFmtId="169" fontId="52" fillId="0" borderId="0" xfId="49" applyFont="1" applyAlignment="1">
      <alignment horizontal="center" vertical="center"/>
    </xf>
    <xf numFmtId="0" fontId="52" fillId="0" borderId="48" xfId="4" applyFont="1" applyBorder="1" applyAlignment="1">
      <alignment horizontal="center" vertical="center"/>
    </xf>
    <xf numFmtId="0" fontId="52" fillId="5" borderId="27" xfId="49" applyNumberFormat="1" applyFont="1" applyFill="1" applyBorder="1" applyAlignment="1">
      <alignment horizontal="center" vertical="center"/>
    </xf>
    <xf numFmtId="0" fontId="52" fillId="5" borderId="28" xfId="49" applyNumberFormat="1" applyFont="1" applyFill="1" applyBorder="1" applyAlignment="1">
      <alignment horizontal="center" vertical="center"/>
    </xf>
    <xf numFmtId="0" fontId="51" fillId="44" borderId="48" xfId="50" applyFont="1" applyFill="1" applyBorder="1" applyAlignment="1">
      <alignment horizontal="center" vertical="center"/>
    </xf>
    <xf numFmtId="169" fontId="51" fillId="3" borderId="28" xfId="49" applyFont="1" applyFill="1" applyBorder="1" applyAlignment="1">
      <alignment horizontal="center" vertical="center"/>
    </xf>
    <xf numFmtId="0" fontId="51" fillId="0" borderId="0" xfId="50" applyFont="1" applyAlignment="1">
      <alignment horizontal="center" vertical="center"/>
    </xf>
    <xf numFmtId="0" fontId="51" fillId="0" borderId="0" xfId="49" applyNumberFormat="1" applyFont="1" applyFill="1" applyBorder="1" applyAlignment="1">
      <alignment horizontal="center" vertical="center"/>
    </xf>
    <xf numFmtId="169" fontId="51" fillId="0" borderId="0" xfId="49" applyFont="1" applyFill="1" applyBorder="1" applyAlignment="1">
      <alignment horizontal="center" vertical="center"/>
    </xf>
    <xf numFmtId="169" fontId="51" fillId="0" borderId="0" xfId="49" applyFont="1" applyAlignment="1"/>
    <xf numFmtId="0" fontId="52" fillId="0" borderId="0" xfId="49" applyNumberFormat="1" applyFont="1" applyAlignment="1">
      <alignment horizontal="center" vertical="center"/>
    </xf>
    <xf numFmtId="169" fontId="52" fillId="0" borderId="0" xfId="49" applyFont="1" applyAlignment="1">
      <alignment horizontal="right"/>
    </xf>
    <xf numFmtId="169" fontId="51" fillId="0" borderId="0" xfId="49" applyFont="1" applyAlignment="1">
      <alignment horizontal="right"/>
    </xf>
    <xf numFmtId="0" fontId="52" fillId="0" borderId="0" xfId="49" applyNumberFormat="1" applyFont="1" applyAlignment="1">
      <alignment horizontal="center"/>
    </xf>
    <xf numFmtId="169" fontId="52" fillId="0" borderId="0" xfId="49" applyFont="1"/>
    <xf numFmtId="169" fontId="52" fillId="0" borderId="0" xfId="49" applyFont="1" applyAlignment="1">
      <alignment horizontal="center"/>
    </xf>
    <xf numFmtId="0" fontId="52" fillId="0" borderId="0" xfId="49" applyNumberFormat="1" applyFont="1" applyBorder="1" applyAlignment="1">
      <alignment horizontal="center" vertical="center"/>
    </xf>
    <xf numFmtId="169" fontId="52" fillId="0" borderId="0" xfId="49" applyFont="1" applyAlignment="1"/>
    <xf numFmtId="0" fontId="52" fillId="0" borderId="0" xfId="49" applyNumberFormat="1" applyFont="1" applyAlignment="1">
      <alignment vertical="center"/>
    </xf>
    <xf numFmtId="169" fontId="52" fillId="0" borderId="0" xfId="4" applyNumberFormat="1" applyFont="1"/>
    <xf numFmtId="172" fontId="52" fillId="0" borderId="0" xfId="49" applyNumberFormat="1" applyFont="1"/>
    <xf numFmtId="173" fontId="51" fillId="0" borderId="0" xfId="49" applyNumberFormat="1" applyFont="1" applyAlignment="1">
      <alignment horizontal="right"/>
    </xf>
    <xf numFmtId="0" fontId="13" fillId="0" borderId="4" xfId="2" applyFont="1" applyBorder="1" applyAlignment="1">
      <alignment horizontal="left" vertical="center" wrapText="1"/>
    </xf>
    <xf numFmtId="4" fontId="13" fillId="0" borderId="3" xfId="2" applyNumberFormat="1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14" fontId="13" fillId="0" borderId="0" xfId="2" applyNumberFormat="1" applyFont="1" applyAlignment="1">
      <alignment horizontal="center" vertical="center"/>
    </xf>
    <xf numFmtId="0" fontId="13" fillId="0" borderId="12" xfId="2" applyFont="1" applyBorder="1" applyAlignment="1">
      <alignment vertical="center"/>
    </xf>
    <xf numFmtId="14" fontId="6" fillId="0" borderId="0" xfId="4" applyNumberFormat="1" applyFont="1" applyAlignment="1" applyProtection="1">
      <alignment horizontal="center"/>
      <protection locked="0"/>
    </xf>
    <xf numFmtId="0" fontId="13" fillId="0" borderId="3" xfId="2" applyFont="1" applyBorder="1" applyAlignment="1">
      <alignment horizontal="left" vertical="center" wrapText="1"/>
    </xf>
    <xf numFmtId="14" fontId="6" fillId="0" borderId="0" xfId="4" applyNumberFormat="1" applyFont="1" applyAlignment="1" applyProtection="1">
      <alignment horizontal="center" vertical="center"/>
      <protection locked="0"/>
    </xf>
    <xf numFmtId="0" fontId="13" fillId="0" borderId="3" xfId="2" applyFont="1" applyBorder="1" applyAlignment="1">
      <alignment vertical="center"/>
    </xf>
    <xf numFmtId="0" fontId="13" fillId="41" borderId="14" xfId="2" applyFont="1" applyFill="1" applyBorder="1" applyAlignment="1">
      <alignment horizontal="center" vertical="center"/>
    </xf>
    <xf numFmtId="14" fontId="13" fillId="0" borderId="0" xfId="2" applyNumberFormat="1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11" xfId="2" applyFont="1" applyBorder="1" applyAlignment="1">
      <alignment vertical="center"/>
    </xf>
    <xf numFmtId="0" fontId="13" fillId="2" borderId="0" xfId="2" applyFont="1" applyFill="1" applyBorder="1" applyAlignment="1">
      <alignment horizontal="center" vertical="center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right"/>
    </xf>
    <xf numFmtId="0" fontId="11" fillId="0" borderId="0" xfId="2" applyFont="1" applyAlignment="1">
      <alignment horizontal="right" vertical="center"/>
    </xf>
    <xf numFmtId="0" fontId="12" fillId="0" borderId="0" xfId="4" applyFont="1" applyAlignment="1">
      <alignment horizontal="center"/>
    </xf>
    <xf numFmtId="0" fontId="12" fillId="0" borderId="0" xfId="4" applyFont="1" applyAlignment="1">
      <alignment horizontal="right"/>
    </xf>
    <xf numFmtId="0" fontId="13" fillId="8" borderId="5" xfId="4" applyFont="1" applyFill="1" applyBorder="1" applyAlignment="1">
      <alignment horizontal="right" wrapText="1"/>
    </xf>
    <xf numFmtId="0" fontId="13" fillId="8" borderId="18" xfId="4" applyFont="1" applyFill="1" applyBorder="1" applyAlignment="1">
      <alignment horizontal="right"/>
    </xf>
    <xf numFmtId="3" fontId="12" fillId="0" borderId="14" xfId="4" applyNumberFormat="1" applyFont="1" applyBorder="1" applyAlignment="1">
      <alignment horizontal="right"/>
    </xf>
    <xf numFmtId="49" fontId="12" fillId="0" borderId="14" xfId="4" applyNumberFormat="1" applyFont="1" applyBorder="1" applyAlignment="1">
      <alignment horizontal="right"/>
    </xf>
    <xf numFmtId="169" fontId="12" fillId="0" borderId="14" xfId="49" applyFont="1" applyBorder="1" applyAlignment="1">
      <alignment horizontal="right"/>
    </xf>
    <xf numFmtId="0" fontId="4" fillId="0" borderId="0" xfId="4" applyAlignment="1">
      <alignment horizontal="right"/>
    </xf>
    <xf numFmtId="0" fontId="12" fillId="0" borderId="14" xfId="4" applyFont="1" applyBorder="1" applyAlignment="1">
      <alignment vertical="center"/>
    </xf>
    <xf numFmtId="3" fontId="12" fillId="0" borderId="14" xfId="4" applyNumberFormat="1" applyFont="1" applyBorder="1" applyAlignment="1">
      <alignment vertical="center"/>
    </xf>
    <xf numFmtId="49" fontId="12" fillId="0" borderId="14" xfId="4" applyNumberFormat="1" applyFont="1" applyBorder="1" applyAlignment="1">
      <alignment horizontal="right" vertical="center"/>
    </xf>
    <xf numFmtId="0" fontId="12" fillId="0" borderId="8" xfId="4" applyFont="1" applyBorder="1" applyAlignment="1">
      <alignment horizontal="center"/>
    </xf>
    <xf numFmtId="0" fontId="12" fillId="0" borderId="14" xfId="4" applyFont="1" applyBorder="1" applyAlignment="1">
      <alignment horizontal="right"/>
    </xf>
    <xf numFmtId="0" fontId="12" fillId="0" borderId="20" xfId="4" applyFont="1" applyBorder="1" applyAlignment="1">
      <alignment horizontal="right"/>
    </xf>
    <xf numFmtId="0" fontId="12" fillId="0" borderId="5" xfId="4" applyFont="1" applyBorder="1" applyAlignment="1">
      <alignment horizontal="right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center" vertical="center"/>
    </xf>
    <xf numFmtId="164" fontId="12" fillId="0" borderId="0" xfId="4" applyNumberFormat="1" applyFont="1"/>
    <xf numFmtId="0" fontId="13" fillId="7" borderId="6" xfId="4" applyFont="1" applyFill="1" applyBorder="1" applyAlignment="1">
      <alignment horizontal="center" vertical="center" wrapText="1"/>
    </xf>
    <xf numFmtId="0" fontId="13" fillId="7" borderId="49" xfId="4" applyFont="1" applyFill="1" applyBorder="1" applyAlignment="1">
      <alignment horizontal="center" vertical="center" wrapText="1"/>
    </xf>
    <xf numFmtId="0" fontId="13" fillId="7" borderId="21" xfId="4" applyFont="1" applyFill="1" applyBorder="1" applyAlignment="1">
      <alignment horizontal="center" vertical="center" wrapText="1"/>
    </xf>
    <xf numFmtId="0" fontId="13" fillId="7" borderId="15" xfId="4" applyFont="1" applyFill="1" applyBorder="1" applyAlignment="1">
      <alignment horizontal="center" vertical="center" wrapText="1"/>
    </xf>
    <xf numFmtId="0" fontId="13" fillId="7" borderId="16" xfId="4" applyFont="1" applyFill="1" applyBorder="1" applyAlignment="1">
      <alignment horizontal="center" vertical="center" wrapText="1"/>
    </xf>
    <xf numFmtId="0" fontId="13" fillId="7" borderId="18" xfId="4" applyFont="1" applyFill="1" applyBorder="1" applyAlignment="1">
      <alignment horizontal="center" vertical="center" wrapText="1"/>
    </xf>
    <xf numFmtId="0" fontId="13" fillId="7" borderId="43" xfId="4" applyFont="1" applyFill="1" applyBorder="1" applyAlignment="1">
      <alignment horizontal="center" vertical="center" textRotation="90" wrapText="1"/>
    </xf>
    <xf numFmtId="164" fontId="13" fillId="7" borderId="16" xfId="4" applyNumberFormat="1" applyFont="1" applyFill="1" applyBorder="1" applyAlignment="1">
      <alignment horizontal="center" textRotation="90" wrapText="1"/>
    </xf>
    <xf numFmtId="164" fontId="13" fillId="7" borderId="44" xfId="4" applyNumberFormat="1" applyFont="1" applyFill="1" applyBorder="1" applyAlignment="1">
      <alignment horizontal="center" textRotation="90" wrapText="1"/>
    </xf>
    <xf numFmtId="164" fontId="13" fillId="7" borderId="61" xfId="4" applyNumberFormat="1" applyFont="1" applyFill="1" applyBorder="1" applyAlignment="1">
      <alignment horizontal="center" textRotation="90" wrapText="1"/>
    </xf>
    <xf numFmtId="0" fontId="13" fillId="7" borderId="50" xfId="4" applyFont="1" applyFill="1" applyBorder="1" applyAlignment="1">
      <alignment horizontal="center" textRotation="90" wrapText="1"/>
    </xf>
    <xf numFmtId="164" fontId="13" fillId="7" borderId="55" xfId="4" applyNumberFormat="1" applyFont="1" applyFill="1" applyBorder="1" applyAlignment="1">
      <alignment horizontal="center" textRotation="90" wrapText="1"/>
    </xf>
    <xf numFmtId="0" fontId="55" fillId="0" borderId="3" xfId="4" applyFont="1" applyBorder="1" applyAlignment="1">
      <alignment horizontal="left" vertical="center"/>
    </xf>
    <xf numFmtId="0" fontId="55" fillId="0" borderId="0" xfId="4" applyFont="1" applyAlignment="1">
      <alignment horizontal="left" vertical="center"/>
    </xf>
    <xf numFmtId="0" fontId="55" fillId="0" borderId="0" xfId="4" applyFont="1" applyAlignment="1">
      <alignment horizontal="center" vertical="center"/>
    </xf>
    <xf numFmtId="169" fontId="1" fillId="0" borderId="0" xfId="51" applyFont="1" applyFill="1" applyBorder="1" applyAlignment="1">
      <alignment horizontal="left" vertical="center"/>
    </xf>
    <xf numFmtId="169" fontId="1" fillId="0" borderId="4" xfId="49" applyFont="1" applyFill="1" applyBorder="1" applyAlignment="1">
      <alignment horizontal="center" vertical="center"/>
    </xf>
    <xf numFmtId="0" fontId="1" fillId="0" borderId="96" xfId="51" applyNumberFormat="1" applyFont="1" applyFill="1" applyBorder="1" applyAlignment="1">
      <alignment horizontal="center" vertical="center"/>
    </xf>
    <xf numFmtId="169" fontId="1" fillId="0" borderId="97" xfId="51" applyFont="1" applyFill="1" applyBorder="1" applyAlignment="1">
      <alignment horizontal="left" vertical="center"/>
    </xf>
    <xf numFmtId="0" fontId="55" fillId="0" borderId="51" xfId="2" applyFont="1" applyBorder="1" applyAlignment="1">
      <alignment horizontal="left" vertical="center"/>
    </xf>
    <xf numFmtId="169" fontId="1" fillId="0" borderId="98" xfId="51" applyFont="1" applyFill="1" applyBorder="1" applyAlignment="1">
      <alignment horizontal="left" vertical="center"/>
    </xf>
    <xf numFmtId="0" fontId="55" fillId="0" borderId="58" xfId="4" applyFont="1" applyBorder="1" applyAlignment="1">
      <alignment horizontal="left" vertical="center"/>
    </xf>
    <xf numFmtId="0" fontId="55" fillId="0" borderId="51" xfId="4" applyFont="1" applyBorder="1" applyAlignment="1">
      <alignment horizontal="left" vertical="center"/>
    </xf>
    <xf numFmtId="169" fontId="55" fillId="0" borderId="4" xfId="4" applyNumberFormat="1" applyFont="1" applyBorder="1" applyAlignment="1">
      <alignment horizontal="left" vertical="center"/>
    </xf>
    <xf numFmtId="169" fontId="55" fillId="0" borderId="4" xfId="49" applyFont="1" applyFill="1" applyBorder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23" fillId="0" borderId="96" xfId="4" applyFont="1" applyBorder="1" applyAlignment="1">
      <alignment horizontal="center" vertical="center"/>
    </xf>
    <xf numFmtId="0" fontId="1" fillId="0" borderId="97" xfId="4" applyFont="1" applyBorder="1" applyAlignment="1">
      <alignment horizontal="left" vertical="center" wrapText="1"/>
    </xf>
    <xf numFmtId="0" fontId="1" fillId="0" borderId="98" xfId="4" applyFont="1" applyBorder="1" applyAlignment="1">
      <alignment horizontal="left" vertical="center" wrapText="1"/>
    </xf>
    <xf numFmtId="0" fontId="1" fillId="0" borderId="27" xfId="51" applyNumberFormat="1" applyFont="1" applyFill="1" applyBorder="1" applyAlignment="1">
      <alignment horizontal="center" vertical="center"/>
    </xf>
    <xf numFmtId="1" fontId="23" fillId="0" borderId="97" xfId="4" applyNumberFormat="1" applyFont="1" applyBorder="1" applyAlignment="1">
      <alignment horizontal="left" vertical="center"/>
    </xf>
    <xf numFmtId="0" fontId="23" fillId="0" borderId="97" xfId="4" applyFont="1" applyBorder="1" applyAlignment="1">
      <alignment horizontal="left" vertical="center"/>
    </xf>
    <xf numFmtId="0" fontId="55" fillId="0" borderId="7" xfId="4" applyFont="1" applyBorder="1" applyAlignment="1">
      <alignment horizontal="left" vertical="center"/>
    </xf>
    <xf numFmtId="0" fontId="55" fillId="0" borderId="92" xfId="4" applyFont="1" applyBorder="1" applyAlignment="1">
      <alignment horizontal="left" vertical="center"/>
    </xf>
    <xf numFmtId="0" fontId="55" fillId="0" borderId="92" xfId="4" applyFont="1" applyBorder="1" applyAlignment="1">
      <alignment horizontal="center" vertical="center"/>
    </xf>
    <xf numFmtId="169" fontId="1" fillId="0" borderId="92" xfId="51" applyFont="1" applyFill="1" applyBorder="1" applyAlignment="1">
      <alignment horizontal="left" vertical="center"/>
    </xf>
    <xf numFmtId="169" fontId="1" fillId="0" borderId="99" xfId="51" applyFont="1" applyFill="1" applyBorder="1" applyAlignment="1">
      <alignment horizontal="left" vertical="center"/>
    </xf>
    <xf numFmtId="0" fontId="55" fillId="0" borderId="52" xfId="2" applyFont="1" applyBorder="1" applyAlignment="1">
      <alignment horizontal="left" vertical="center"/>
    </xf>
    <xf numFmtId="169" fontId="1" fillId="0" borderId="100" xfId="51" applyFont="1" applyFill="1" applyBorder="1" applyAlignment="1">
      <alignment horizontal="left" vertical="center"/>
    </xf>
    <xf numFmtId="0" fontId="55" fillId="0" borderId="9" xfId="4" applyFont="1" applyBorder="1" applyAlignment="1">
      <alignment horizontal="left" vertical="center"/>
    </xf>
    <xf numFmtId="0" fontId="55" fillId="0" borderId="52" xfId="4" applyFont="1" applyBorder="1" applyAlignment="1">
      <alignment horizontal="left" vertical="center"/>
    </xf>
    <xf numFmtId="169" fontId="55" fillId="0" borderId="8" xfId="4" applyNumberFormat="1" applyFont="1" applyBorder="1" applyAlignment="1">
      <alignment horizontal="left" vertical="center"/>
    </xf>
    <xf numFmtId="1" fontId="43" fillId="0" borderId="28" xfId="4" applyNumberFormat="1" applyFont="1" applyBorder="1" applyAlignment="1">
      <alignment horizontal="left" vertical="center"/>
    </xf>
    <xf numFmtId="0" fontId="12" fillId="0" borderId="16" xfId="4" applyFont="1" applyBorder="1"/>
    <xf numFmtId="0" fontId="13" fillId="0" borderId="15" xfId="4" applyFont="1" applyBorder="1" applyAlignment="1">
      <alignment horizontal="center"/>
    </xf>
    <xf numFmtId="0" fontId="12" fillId="0" borderId="43" xfId="4" applyFont="1" applyBorder="1" applyAlignment="1">
      <alignment horizontal="center" vertical="center"/>
    </xf>
    <xf numFmtId="164" fontId="12" fillId="0" borderId="43" xfId="4" applyNumberFormat="1" applyFont="1" applyBorder="1"/>
    <xf numFmtId="1" fontId="43" fillId="0" borderId="41" xfId="4" applyNumberFormat="1" applyFont="1" applyBorder="1" applyAlignment="1">
      <alignment horizontal="left" vertical="center"/>
    </xf>
    <xf numFmtId="169" fontId="12" fillId="0" borderId="0" xfId="49" applyFont="1"/>
    <xf numFmtId="0" fontId="12" fillId="0" borderId="0" xfId="4" applyFont="1" applyAlignment="1">
      <alignment horizontal="left"/>
    </xf>
    <xf numFmtId="169" fontId="12" fillId="0" borderId="0" xfId="4" applyNumberFormat="1" applyFont="1"/>
    <xf numFmtId="0" fontId="12" fillId="0" borderId="13" xfId="4" applyFont="1" applyBorder="1" applyAlignment="1">
      <alignment horizontal="center" vertical="top"/>
    </xf>
    <xf numFmtId="0" fontId="12" fillId="0" borderId="51" xfId="4" applyFont="1" applyBorder="1" applyAlignment="1">
      <alignment horizontal="center" vertical="top"/>
    </xf>
    <xf numFmtId="0" fontId="12" fillId="0" borderId="57" xfId="4" applyFont="1" applyBorder="1" applyAlignment="1">
      <alignment horizontal="center" vertical="top"/>
    </xf>
    <xf numFmtId="0" fontId="12" fillId="0" borderId="58" xfId="4" applyFont="1" applyBorder="1" applyAlignment="1">
      <alignment horizontal="center" vertical="top"/>
    </xf>
    <xf numFmtId="169" fontId="12" fillId="0" borderId="13" xfId="49" applyFont="1" applyBorder="1" applyAlignment="1">
      <alignment horizontal="center" vertical="top"/>
    </xf>
    <xf numFmtId="0" fontId="12" fillId="0" borderId="4" xfId="4" applyFont="1" applyBorder="1" applyAlignment="1">
      <alignment horizontal="center" vertical="top"/>
    </xf>
    <xf numFmtId="169" fontId="12" fillId="0" borderId="4" xfId="49" applyFont="1" applyBorder="1" applyAlignment="1">
      <alignment horizontal="center" vertical="top"/>
    </xf>
    <xf numFmtId="0" fontId="12" fillId="0" borderId="51" xfId="4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0" fontId="12" fillId="0" borderId="51" xfId="2" applyFont="1" applyBorder="1" applyAlignment="1">
      <alignment horizontal="center" vertical="top"/>
    </xf>
    <xf numFmtId="0" fontId="13" fillId="5" borderId="0" xfId="0" applyFont="1" applyFill="1" applyAlignment="1">
      <alignment vertical="center"/>
    </xf>
    <xf numFmtId="0" fontId="12" fillId="0" borderId="65" xfId="50" applyFont="1" applyBorder="1" applyAlignment="1">
      <alignment horizontal="center" vertical="center"/>
    </xf>
    <xf numFmtId="0" fontId="12" fillId="0" borderId="61" xfId="0" applyFont="1" applyBorder="1" applyAlignment="1">
      <alignment horizontal="center"/>
    </xf>
    <xf numFmtId="0" fontId="12" fillId="0" borderId="50" xfId="2" applyFont="1" applyBorder="1" applyAlignment="1">
      <alignment horizontal="center" vertical="center"/>
    </xf>
    <xf numFmtId="0" fontId="12" fillId="4" borderId="2" xfId="5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4" fontId="12" fillId="4" borderId="48" xfId="0" applyNumberFormat="1" applyFont="1" applyFill="1" applyBorder="1"/>
    <xf numFmtId="0" fontId="12" fillId="0" borderId="101" xfId="5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51" xfId="2" applyFont="1" applyBorder="1" applyAlignment="1">
      <alignment horizontal="center" vertical="center"/>
    </xf>
    <xf numFmtId="0" fontId="12" fillId="0" borderId="3" xfId="50" applyFont="1" applyBorder="1" applyAlignment="1">
      <alignment horizontal="center" vertical="center"/>
    </xf>
    <xf numFmtId="0" fontId="12" fillId="0" borderId="102" xfId="50" applyFont="1" applyBorder="1" applyAlignment="1">
      <alignment horizontal="center" vertical="center"/>
    </xf>
    <xf numFmtId="0" fontId="4" fillId="0" borderId="36" xfId="50" applyFont="1" applyBorder="1" applyAlignment="1">
      <alignment horizontal="center" vertical="center"/>
    </xf>
    <xf numFmtId="0" fontId="4" fillId="0" borderId="51" xfId="50" applyFont="1" applyBorder="1" applyAlignment="1">
      <alignment horizontal="center" vertical="center"/>
    </xf>
    <xf numFmtId="0" fontId="12" fillId="0" borderId="3" xfId="50" quotePrefix="1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/>
    </xf>
    <xf numFmtId="0" fontId="13" fillId="4" borderId="2" xfId="50" applyFont="1" applyFill="1" applyBorder="1" applyAlignment="1">
      <alignment horizontal="center" vertical="center"/>
    </xf>
    <xf numFmtId="3" fontId="6" fillId="4" borderId="26" xfId="50" applyNumberFormat="1" applyFont="1" applyFill="1" applyBorder="1" applyAlignment="1">
      <alignment horizontal="center" vertical="center"/>
    </xf>
    <xf numFmtId="3" fontId="6" fillId="4" borderId="28" xfId="50" applyNumberFormat="1" applyFont="1" applyFill="1" applyBorder="1" applyAlignment="1">
      <alignment horizontal="center" vertical="center"/>
    </xf>
    <xf numFmtId="4" fontId="13" fillId="4" borderId="29" xfId="50" applyNumberFormat="1" applyFont="1" applyFill="1" applyBorder="1" applyAlignment="1">
      <alignment vertical="center"/>
    </xf>
    <xf numFmtId="4" fontId="12" fillId="0" borderId="0" xfId="2" applyNumberFormat="1" applyFont="1" applyAlignment="1">
      <alignment vertical="center"/>
    </xf>
    <xf numFmtId="49" fontId="11" fillId="0" borderId="0" xfId="3" applyFont="1" applyAlignment="1">
      <alignment vertical="center"/>
    </xf>
    <xf numFmtId="0" fontId="11" fillId="0" borderId="0" xfId="0" applyFont="1"/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48" xfId="2" applyFont="1" applyBorder="1" applyAlignment="1">
      <alignment horizontal="left" vertical="center" wrapText="1"/>
    </xf>
    <xf numFmtId="0" fontId="13" fillId="0" borderId="26" xfId="2" applyFont="1" applyBorder="1" applyAlignment="1">
      <alignment horizontal="center" vertical="center"/>
    </xf>
    <xf numFmtId="4" fontId="13" fillId="0" borderId="29" xfId="2" applyNumberFormat="1" applyFont="1" applyBorder="1" applyAlignment="1">
      <alignment vertical="center"/>
    </xf>
    <xf numFmtId="0" fontId="13" fillId="2" borderId="43" xfId="2" applyFont="1" applyFill="1" applyBorder="1" applyAlignment="1">
      <alignment horizontal="center" vertical="center"/>
    </xf>
    <xf numFmtId="4" fontId="13" fillId="2" borderId="44" xfId="2" applyNumberFormat="1" applyFont="1" applyFill="1" applyBorder="1" applyAlignment="1">
      <alignment vertical="center"/>
    </xf>
    <xf numFmtId="0" fontId="13" fillId="0" borderId="6" xfId="5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4" fontId="12" fillId="0" borderId="51" xfId="0" applyNumberFormat="1" applyFont="1" applyBorder="1"/>
    <xf numFmtId="4" fontId="12" fillId="0" borderId="56" xfId="0" applyNumberFormat="1" applyFont="1" applyBorder="1"/>
    <xf numFmtId="4" fontId="12" fillId="4" borderId="28" xfId="0" applyNumberFormat="1" applyFont="1" applyFill="1" applyBorder="1"/>
    <xf numFmtId="4" fontId="12" fillId="4" borderId="1" xfId="0" applyNumberFormat="1" applyFont="1" applyFill="1" applyBorder="1"/>
    <xf numFmtId="0" fontId="12" fillId="44" borderId="2" xfId="50" applyFont="1" applyFill="1" applyBorder="1" applyAlignment="1">
      <alignment horizontal="center" vertical="center"/>
    </xf>
    <xf numFmtId="0" fontId="12" fillId="44" borderId="28" xfId="0" applyFont="1" applyFill="1" applyBorder="1" applyAlignment="1">
      <alignment horizontal="center"/>
    </xf>
    <xf numFmtId="4" fontId="12" fillId="44" borderId="28" xfId="0" applyNumberFormat="1" applyFont="1" applyFill="1" applyBorder="1"/>
    <xf numFmtId="4" fontId="12" fillId="44" borderId="1" xfId="0" applyNumberFormat="1" applyFont="1" applyFill="1" applyBorder="1"/>
    <xf numFmtId="3" fontId="4" fillId="0" borderId="36" xfId="50" applyNumberFormat="1" applyFont="1" applyBorder="1" applyAlignment="1">
      <alignment horizontal="center" vertical="center"/>
    </xf>
    <xf numFmtId="4" fontId="4" fillId="0" borderId="36" xfId="50" applyNumberFormat="1" applyFont="1" applyBorder="1" applyAlignment="1">
      <alignment vertical="center"/>
    </xf>
    <xf numFmtId="0" fontId="4" fillId="0" borderId="36" xfId="0" applyFont="1" applyBorder="1"/>
    <xf numFmtId="0" fontId="0" fillId="0" borderId="36" xfId="0" applyBorder="1"/>
    <xf numFmtId="4" fontId="0" fillId="0" borderId="36" xfId="0" applyNumberFormat="1" applyBorder="1"/>
    <xf numFmtId="0" fontId="0" fillId="0" borderId="36" xfId="0" applyBorder="1" applyAlignment="1">
      <alignment horizontal="center"/>
    </xf>
    <xf numFmtId="3" fontId="4" fillId="0" borderId="51" xfId="50" applyNumberFormat="1" applyFont="1" applyBorder="1" applyAlignment="1">
      <alignment horizontal="center" vertical="center"/>
    </xf>
    <xf numFmtId="4" fontId="4" fillId="0" borderId="51" xfId="50" applyNumberFormat="1" applyFont="1" applyBorder="1" applyAlignment="1">
      <alignment vertical="center"/>
    </xf>
    <xf numFmtId="0" fontId="4" fillId="0" borderId="51" xfId="0" applyFont="1" applyBorder="1"/>
    <xf numFmtId="0" fontId="0" fillId="0" borderId="51" xfId="0" applyBorder="1"/>
    <xf numFmtId="4" fontId="0" fillId="0" borderId="51" xfId="0" applyNumberFormat="1" applyBorder="1"/>
    <xf numFmtId="0" fontId="0" fillId="0" borderId="51" xfId="0" applyBorder="1" applyAlignment="1">
      <alignment horizontal="center"/>
    </xf>
    <xf numFmtId="0" fontId="13" fillId="44" borderId="2" xfId="50" applyFont="1" applyFill="1" applyBorder="1" applyAlignment="1">
      <alignment horizontal="center" vertical="center"/>
    </xf>
    <xf numFmtId="0" fontId="13" fillId="44" borderId="28" xfId="0" applyFont="1" applyFill="1" applyBorder="1" applyAlignment="1">
      <alignment horizontal="center" vertical="center"/>
    </xf>
    <xf numFmtId="4" fontId="13" fillId="44" borderId="28" xfId="0" applyNumberFormat="1" applyFont="1" applyFill="1" applyBorder="1" applyAlignment="1">
      <alignment vertical="center"/>
    </xf>
    <xf numFmtId="4" fontId="13" fillId="44" borderId="1" xfId="0" applyNumberFormat="1" applyFont="1" applyFill="1" applyBorder="1" applyAlignment="1">
      <alignment vertical="center"/>
    </xf>
    <xf numFmtId="4" fontId="13" fillId="0" borderId="3" xfId="2" applyNumberFormat="1" applyFont="1" applyBorder="1" applyAlignment="1">
      <alignment vertical="center"/>
    </xf>
    <xf numFmtId="14" fontId="13" fillId="0" borderId="4" xfId="2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4" fontId="12" fillId="0" borderId="3" xfId="2" applyNumberFormat="1" applyFont="1" applyBorder="1" applyAlignment="1">
      <alignment vertical="center"/>
    </xf>
    <xf numFmtId="49" fontId="12" fillId="0" borderId="0" xfId="4" applyNumberFormat="1" applyFont="1"/>
    <xf numFmtId="49" fontId="12" fillId="0" borderId="14" xfId="4" applyNumberFormat="1" applyFont="1" applyBorder="1"/>
    <xf numFmtId="0" fontId="57" fillId="0" borderId="14" xfId="0" applyFont="1" applyBorder="1" applyAlignment="1">
      <alignment vertical="center" wrapText="1"/>
    </xf>
    <xf numFmtId="0" fontId="12" fillId="0" borderId="4" xfId="4" applyFont="1" applyBorder="1" applyAlignment="1">
      <alignment horizontal="center" vertical="center" wrapText="1"/>
    </xf>
    <xf numFmtId="3" fontId="12" fillId="0" borderId="4" xfId="4" applyNumberFormat="1" applyFont="1" applyBorder="1" applyAlignment="1">
      <alignment horizontal="center" vertical="center" wrapText="1"/>
    </xf>
    <xf numFmtId="49" fontId="12" fillId="0" borderId="0" xfId="4" applyNumberFormat="1" applyFont="1" applyAlignment="1">
      <alignment vertical="center" wrapText="1"/>
    </xf>
    <xf numFmtId="49" fontId="12" fillId="0" borderId="14" xfId="4" applyNumberFormat="1" applyFont="1" applyBorder="1" applyAlignment="1">
      <alignment vertical="center" wrapText="1"/>
    </xf>
    <xf numFmtId="3" fontId="12" fillId="0" borderId="4" xfId="4" applyNumberFormat="1" applyFont="1" applyBorder="1" applyAlignment="1">
      <alignment vertical="center" wrapText="1"/>
    </xf>
    <xf numFmtId="4" fontId="12" fillId="0" borderId="4" xfId="4" applyNumberFormat="1" applyFont="1" applyBorder="1" applyAlignment="1">
      <alignment vertical="center" wrapText="1"/>
    </xf>
    <xf numFmtId="4" fontId="4" fillId="0" borderId="0" xfId="0" applyNumberFormat="1" applyFont="1"/>
    <xf numFmtId="4" fontId="12" fillId="0" borderId="14" xfId="4" applyNumberFormat="1" applyFont="1" applyBorder="1"/>
    <xf numFmtId="49" fontId="12" fillId="0" borderId="11" xfId="4" applyNumberFormat="1" applyFont="1" applyBorder="1"/>
    <xf numFmtId="4" fontId="12" fillId="0" borderId="11" xfId="4" applyNumberFormat="1" applyFont="1" applyBorder="1"/>
    <xf numFmtId="0" fontId="13" fillId="0" borderId="19" xfId="4" applyFont="1" applyBorder="1" applyAlignment="1">
      <alignment horizontal="center"/>
    </xf>
    <xf numFmtId="0" fontId="13" fillId="0" borderId="5" xfId="4" applyFont="1" applyBorder="1" applyAlignment="1">
      <alignment horizontal="center"/>
    </xf>
    <xf numFmtId="49" fontId="12" fillId="0" borderId="20" xfId="4" applyNumberFormat="1" applyFont="1" applyBorder="1"/>
    <xf numFmtId="0" fontId="5" fillId="0" borderId="97" xfId="0" applyFont="1" applyBorder="1"/>
    <xf numFmtId="0" fontId="12" fillId="0" borderId="97" xfId="0" applyFont="1" applyBorder="1" applyAlignment="1">
      <alignment horizontal="center"/>
    </xf>
    <xf numFmtId="0" fontId="12" fillId="0" borderId="97" xfId="0" applyFont="1" applyBorder="1"/>
    <xf numFmtId="4" fontId="12" fillId="0" borderId="97" xfId="0" applyNumberFormat="1" applyFont="1" applyBorder="1"/>
    <xf numFmtId="49" fontId="12" fillId="0" borderId="97" xfId="0" applyNumberFormat="1" applyFont="1" applyBorder="1" applyAlignment="1">
      <alignment horizontal="center"/>
    </xf>
    <xf numFmtId="0" fontId="12" fillId="0" borderId="97" xfId="2" quotePrefix="1" applyFont="1" applyBorder="1" applyAlignment="1">
      <alignment horizontal="center" vertical="center"/>
    </xf>
    <xf numFmtId="0" fontId="0" fillId="0" borderId="97" xfId="0" applyBorder="1" applyAlignment="1">
      <alignment horizontal="center"/>
    </xf>
    <xf numFmtId="4" fontId="0" fillId="0" borderId="97" xfId="0" applyNumberFormat="1" applyBorder="1"/>
    <xf numFmtId="0" fontId="12" fillId="0" borderId="97" xfId="2" applyFont="1" applyBorder="1" applyAlignment="1">
      <alignment horizontal="left" vertical="center"/>
    </xf>
    <xf numFmtId="0" fontId="5" fillId="0" borderId="99" xfId="0" applyFont="1" applyBorder="1"/>
    <xf numFmtId="0" fontId="12" fillId="0" borderId="99" xfId="0" applyFont="1" applyBorder="1" applyAlignment="1">
      <alignment horizontal="center"/>
    </xf>
    <xf numFmtId="0" fontId="12" fillId="0" borderId="99" xfId="0" applyFont="1" applyBorder="1"/>
    <xf numFmtId="4" fontId="12" fillId="0" borderId="99" xfId="0" applyNumberFormat="1" applyFont="1" applyBorder="1"/>
    <xf numFmtId="49" fontId="12" fillId="0" borderId="99" xfId="0" applyNumberFormat="1" applyFont="1" applyBorder="1" applyAlignment="1">
      <alignment horizontal="center"/>
    </xf>
    <xf numFmtId="0" fontId="12" fillId="0" borderId="99" xfId="2" quotePrefix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43" fontId="13" fillId="2" borderId="20" xfId="5" applyFont="1" applyFill="1" applyBorder="1" applyAlignment="1">
      <alignment vertical="center"/>
    </xf>
    <xf numFmtId="0" fontId="13" fillId="2" borderId="19" xfId="2" applyFont="1" applyFill="1" applyBorder="1" applyAlignment="1">
      <alignment vertical="center"/>
    </xf>
    <xf numFmtId="43" fontId="13" fillId="2" borderId="18" xfId="5" applyFont="1" applyFill="1" applyBorder="1" applyAlignment="1">
      <alignment vertical="center"/>
    </xf>
    <xf numFmtId="174" fontId="13" fillId="0" borderId="27" xfId="5" applyNumberFormat="1" applyFont="1" applyFill="1" applyBorder="1" applyAlignment="1">
      <alignment vertical="center"/>
    </xf>
    <xf numFmtId="43" fontId="13" fillId="0" borderId="27" xfId="5" applyFont="1" applyFill="1" applyBorder="1" applyAlignment="1">
      <alignment vertical="center"/>
    </xf>
    <xf numFmtId="43" fontId="13" fillId="0" borderId="29" xfId="5" applyFont="1" applyFill="1" applyBorder="1" applyAlignment="1">
      <alignment vertical="center"/>
    </xf>
    <xf numFmtId="174" fontId="13" fillId="0" borderId="26" xfId="5" applyNumberFormat="1" applyFont="1" applyFill="1" applyBorder="1" applyAlignment="1">
      <alignment horizontal="right" vertical="center" wrapText="1"/>
    </xf>
    <xf numFmtId="43" fontId="13" fillId="0" borderId="29" xfId="2" applyNumberFormat="1" applyFont="1" applyBorder="1" applyAlignment="1">
      <alignment vertical="center"/>
    </xf>
    <xf numFmtId="0" fontId="13" fillId="0" borderId="63" xfId="2" applyFont="1" applyBorder="1" applyAlignment="1">
      <alignment vertical="center"/>
    </xf>
    <xf numFmtId="0" fontId="13" fillId="0" borderId="29" xfId="2" applyFont="1" applyBorder="1" applyAlignment="1">
      <alignment vertical="center"/>
    </xf>
    <xf numFmtId="43" fontId="13" fillId="0" borderId="63" xfId="5" applyFont="1" applyFill="1" applyBorder="1" applyAlignment="1">
      <alignment vertical="center"/>
    </xf>
    <xf numFmtId="0" fontId="13" fillId="0" borderId="14" xfId="0" applyFont="1" applyBorder="1"/>
    <xf numFmtId="43" fontId="12" fillId="0" borderId="4" xfId="5" applyFont="1" applyBorder="1"/>
    <xf numFmtId="43" fontId="12" fillId="0" borderId="13" xfId="5" applyFont="1" applyBorder="1"/>
    <xf numFmtId="43" fontId="12" fillId="0" borderId="0" xfId="5" applyFont="1" applyBorder="1"/>
    <xf numFmtId="43" fontId="12" fillId="0" borderId="58" xfId="5" applyFont="1" applyBorder="1"/>
    <xf numFmtId="43" fontId="12" fillId="0" borderId="4" xfId="0" applyNumberFormat="1" applyFont="1" applyBorder="1"/>
    <xf numFmtId="43" fontId="12" fillId="0" borderId="14" xfId="0" applyNumberFormat="1" applyFont="1" applyBorder="1"/>
    <xf numFmtId="43" fontId="12" fillId="0" borderId="14" xfId="5" applyFont="1" applyBorder="1"/>
    <xf numFmtId="43" fontId="12" fillId="0" borderId="67" xfId="5" applyFont="1" applyBorder="1"/>
    <xf numFmtId="0" fontId="12" fillId="0" borderId="54" xfId="0" applyFont="1" applyBorder="1"/>
    <xf numFmtId="0" fontId="12" fillId="0" borderId="50" xfId="0" applyFont="1" applyBorder="1"/>
    <xf numFmtId="0" fontId="12" fillId="0" borderId="51" xfId="2" applyFont="1" applyBorder="1" applyAlignment="1">
      <alignment horizontal="left" vertical="center"/>
    </xf>
    <xf numFmtId="2" fontId="12" fillId="0" borderId="4" xfId="0" applyNumberFormat="1" applyFont="1" applyBorder="1"/>
    <xf numFmtId="0" fontId="12" fillId="0" borderId="10" xfId="0" applyFont="1" applyBorder="1"/>
    <xf numFmtId="0" fontId="12" fillId="0" borderId="52" xfId="0" applyFont="1" applyBorder="1"/>
    <xf numFmtId="164" fontId="12" fillId="0" borderId="58" xfId="0" applyNumberFormat="1" applyFont="1" applyBorder="1"/>
    <xf numFmtId="164" fontId="12" fillId="0" borderId="51" xfId="0" applyNumberFormat="1" applyFont="1" applyBorder="1"/>
    <xf numFmtId="164" fontId="12" fillId="0" borderId="4" xfId="0" applyNumberFormat="1" applyFont="1" applyBorder="1"/>
    <xf numFmtId="0" fontId="13" fillId="0" borderId="14" xfId="0" applyFont="1" applyBorder="1" applyAlignment="1">
      <alignment horizontal="left" wrapText="1"/>
    </xf>
    <xf numFmtId="3" fontId="5" fillId="0" borderId="56" xfId="0" applyNumberFormat="1" applyFont="1" applyBorder="1"/>
    <xf numFmtId="3" fontId="5" fillId="0" borderId="57" xfId="0" applyNumberFormat="1" applyFont="1" applyBorder="1"/>
    <xf numFmtId="0" fontId="9" fillId="0" borderId="5" xfId="0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wrapText="1"/>
    </xf>
    <xf numFmtId="3" fontId="5" fillId="0" borderId="9" xfId="0" applyNumberFormat="1" applyFont="1" applyBorder="1"/>
    <xf numFmtId="3" fontId="5" fillId="0" borderId="92" xfId="0" applyNumberFormat="1" applyFont="1" applyBorder="1"/>
    <xf numFmtId="3" fontId="9" fillId="0" borderId="52" xfId="0" applyNumberFormat="1" applyFont="1" applyBorder="1"/>
    <xf numFmtId="3" fontId="9" fillId="0" borderId="8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92" xfId="0" applyNumberFormat="1" applyFont="1" applyBorder="1"/>
    <xf numFmtId="3" fontId="9" fillId="0" borderId="95" xfId="0" applyNumberFormat="1" applyFont="1" applyBorder="1"/>
    <xf numFmtId="0" fontId="11" fillId="5" borderId="0" xfId="39" applyFont="1" applyFill="1"/>
    <xf numFmtId="3" fontId="13" fillId="2" borderId="4" xfId="2" applyNumberFormat="1" applyFont="1" applyFill="1" applyBorder="1" applyAlignment="1">
      <alignment vertical="center"/>
    </xf>
    <xf numFmtId="3" fontId="12" fillId="0" borderId="4" xfId="2" applyNumberFormat="1" applyFont="1" applyBorder="1" applyAlignment="1">
      <alignment vertical="center"/>
    </xf>
    <xf numFmtId="3" fontId="13" fillId="2" borderId="13" xfId="2" applyNumberFormat="1" applyFont="1" applyFill="1" applyBorder="1" applyAlignment="1">
      <alignment vertical="center"/>
    </xf>
    <xf numFmtId="0" fontId="13" fillId="4" borderId="14" xfId="2" applyFont="1" applyFill="1" applyBorder="1" applyAlignment="1">
      <alignment horizontal="center" vertical="center"/>
    </xf>
    <xf numFmtId="0" fontId="12" fillId="4" borderId="0" xfId="2" applyFont="1" applyFill="1" applyAlignment="1">
      <alignment vertical="center"/>
    </xf>
    <xf numFmtId="3" fontId="12" fillId="4" borderId="4" xfId="2" applyNumberFormat="1" applyFont="1" applyFill="1" applyBorder="1" applyAlignment="1">
      <alignment vertical="center"/>
    </xf>
    <xf numFmtId="3" fontId="13" fillId="2" borderId="18" xfId="2" applyNumberFormat="1" applyFont="1" applyFill="1" applyBorder="1" applyAlignment="1">
      <alignment vertical="center"/>
    </xf>
    <xf numFmtId="0" fontId="12" fillId="0" borderId="0" xfId="39" applyFont="1"/>
    <xf numFmtId="0" fontId="12" fillId="5" borderId="0" xfId="39" applyFont="1" applyFill="1"/>
    <xf numFmtId="0" fontId="3" fillId="0" borderId="0" xfId="39"/>
    <xf numFmtId="3" fontId="12" fillId="0" borderId="29" xfId="2" applyNumberFormat="1" applyFont="1" applyBorder="1" applyAlignment="1">
      <alignment vertical="center"/>
    </xf>
    <xf numFmtId="3" fontId="12" fillId="0" borderId="63" xfId="2" applyNumberFormat="1" applyFont="1" applyBorder="1" applyAlignment="1">
      <alignment vertical="center"/>
    </xf>
    <xf numFmtId="0" fontId="12" fillId="0" borderId="27" xfId="2" applyFont="1" applyBorder="1" applyAlignment="1">
      <alignment vertical="center"/>
    </xf>
    <xf numFmtId="0" fontId="12" fillId="0" borderId="39" xfId="2" applyFont="1" applyBorder="1" applyAlignment="1">
      <alignment vertical="center"/>
    </xf>
    <xf numFmtId="0" fontId="13" fillId="5" borderId="0" xfId="2" applyFont="1" applyFill="1" applyAlignment="1">
      <alignment horizontal="center" vertical="center"/>
    </xf>
    <xf numFmtId="0" fontId="13" fillId="5" borderId="0" xfId="39" applyFont="1" applyFill="1" applyAlignment="1">
      <alignment horizontal="center"/>
    </xf>
    <xf numFmtId="0" fontId="13" fillId="5" borderId="0" xfId="39" applyFont="1" applyFill="1"/>
    <xf numFmtId="0" fontId="13" fillId="7" borderId="12" xfId="39" applyFont="1" applyFill="1" applyBorder="1" applyAlignment="1">
      <alignment horizontal="center" vertical="center" textRotation="90" wrapText="1"/>
    </xf>
    <xf numFmtId="0" fontId="13" fillId="7" borderId="13" xfId="39" applyFont="1" applyFill="1" applyBorder="1" applyAlignment="1">
      <alignment horizontal="center" vertical="center" textRotation="90" wrapText="1"/>
    </xf>
    <xf numFmtId="0" fontId="13" fillId="7" borderId="51" xfId="39" applyFont="1" applyFill="1" applyBorder="1" applyAlignment="1">
      <alignment horizontal="center" vertical="center" textRotation="90" wrapText="1"/>
    </xf>
    <xf numFmtId="0" fontId="13" fillId="7" borderId="56" xfId="39" applyFont="1" applyFill="1" applyBorder="1" applyAlignment="1">
      <alignment horizontal="center" vertical="center" textRotation="90" wrapText="1"/>
    </xf>
    <xf numFmtId="0" fontId="13" fillId="7" borderId="61" xfId="39" applyFont="1" applyFill="1" applyBorder="1" applyAlignment="1">
      <alignment horizontal="center" vertical="center" textRotation="90" wrapText="1"/>
    </xf>
    <xf numFmtId="0" fontId="13" fillId="7" borderId="21" xfId="39" applyFont="1" applyFill="1" applyBorder="1" applyAlignment="1">
      <alignment horizontal="center" vertical="center" textRotation="90" wrapText="1"/>
    </xf>
    <xf numFmtId="0" fontId="13" fillId="7" borderId="11" xfId="39" applyFont="1" applyFill="1" applyBorder="1" applyAlignment="1">
      <alignment horizontal="center"/>
    </xf>
    <xf numFmtId="0" fontId="13" fillId="7" borderId="10" xfId="39" applyFont="1" applyFill="1" applyBorder="1" applyAlignment="1">
      <alignment horizontal="center"/>
    </xf>
    <xf numFmtId="0" fontId="13" fillId="7" borderId="52" xfId="39" applyFont="1" applyFill="1" applyBorder="1" applyAlignment="1">
      <alignment horizontal="center"/>
    </xf>
    <xf numFmtId="0" fontId="13" fillId="7" borderId="52" xfId="39" quotePrefix="1" applyFont="1" applyFill="1" applyBorder="1" applyAlignment="1">
      <alignment horizontal="center"/>
    </xf>
    <xf numFmtId="0" fontId="13" fillId="7" borderId="59" xfId="39" quotePrefix="1" applyFont="1" applyFill="1" applyBorder="1" applyAlignment="1">
      <alignment horizontal="center"/>
    </xf>
    <xf numFmtId="0" fontId="13" fillId="7" borderId="9" xfId="39" quotePrefix="1" applyFont="1" applyFill="1" applyBorder="1" applyAlignment="1">
      <alignment horizontal="center"/>
    </xf>
    <xf numFmtId="0" fontId="13" fillId="7" borderId="8" xfId="39" quotePrefix="1" applyFont="1" applyFill="1" applyBorder="1" applyAlignment="1">
      <alignment horizontal="center"/>
    </xf>
    <xf numFmtId="0" fontId="13" fillId="7" borderId="9" xfId="39" applyFont="1" applyFill="1" applyBorder="1" applyAlignment="1">
      <alignment horizontal="center"/>
    </xf>
    <xf numFmtId="0" fontId="13" fillId="7" borderId="8" xfId="39" applyFont="1" applyFill="1" applyBorder="1" applyAlignment="1">
      <alignment horizontal="center"/>
    </xf>
    <xf numFmtId="0" fontId="12" fillId="0" borderId="12" xfId="39" applyFont="1" applyBorder="1"/>
    <xf numFmtId="0" fontId="12" fillId="0" borderId="14" xfId="39" applyFont="1" applyBorder="1" applyAlignment="1">
      <alignment horizontal="center"/>
    </xf>
    <xf numFmtId="0" fontId="12" fillId="0" borderId="13" xfId="39" applyFont="1" applyBorder="1"/>
    <xf numFmtId="0" fontId="12" fillId="0" borderId="58" xfId="39" applyFont="1" applyBorder="1"/>
    <xf numFmtId="0" fontId="12" fillId="0" borderId="4" xfId="39" applyFont="1" applyBorder="1"/>
    <xf numFmtId="0" fontId="12" fillId="0" borderId="14" xfId="39" applyFont="1" applyBorder="1"/>
    <xf numFmtId="0" fontId="13" fillId="0" borderId="58" xfId="39" applyFont="1" applyBorder="1"/>
    <xf numFmtId="0" fontId="13" fillId="0" borderId="4" xfId="39" applyFont="1" applyBorder="1"/>
    <xf numFmtId="0" fontId="12" fillId="0" borderId="21" xfId="39" applyFont="1" applyBorder="1"/>
    <xf numFmtId="3" fontId="12" fillId="0" borderId="13" xfId="39" applyNumberFormat="1" applyFont="1" applyBorder="1"/>
    <xf numFmtId="3" fontId="12" fillId="0" borderId="0" xfId="39" applyNumberFormat="1" applyFont="1"/>
    <xf numFmtId="3" fontId="12" fillId="0" borderId="58" xfId="39" applyNumberFormat="1" applyFont="1" applyBorder="1"/>
    <xf numFmtId="3" fontId="12" fillId="0" borderId="4" xfId="39" applyNumberFormat="1" applyFont="1" applyBorder="1"/>
    <xf numFmtId="3" fontId="41" fillId="0" borderId="13" xfId="39" applyNumberFormat="1" applyFont="1" applyBorder="1"/>
    <xf numFmtId="3" fontId="41" fillId="0" borderId="0" xfId="39" applyNumberFormat="1" applyFont="1"/>
    <xf numFmtId="3" fontId="41" fillId="0" borderId="58" xfId="39" applyNumberFormat="1" applyFont="1" applyBorder="1"/>
    <xf numFmtId="3" fontId="41" fillId="0" borderId="4" xfId="39" applyNumberFormat="1" applyFont="1" applyBorder="1"/>
    <xf numFmtId="0" fontId="41" fillId="0" borderId="14" xfId="39" applyFont="1" applyBorder="1"/>
    <xf numFmtId="0" fontId="41" fillId="0" borderId="58" xfId="39" applyFont="1" applyBorder="1"/>
    <xf numFmtId="0" fontId="12" fillId="0" borderId="11" xfId="39" applyFont="1" applyBorder="1"/>
    <xf numFmtId="0" fontId="12" fillId="0" borderId="70" xfId="39" applyFont="1" applyBorder="1" applyAlignment="1">
      <alignment horizontal="center"/>
    </xf>
    <xf numFmtId="3" fontId="12" fillId="0" borderId="46" xfId="39" applyNumberFormat="1" applyFont="1" applyBorder="1"/>
    <xf numFmtId="3" fontId="12" fillId="0" borderId="45" xfId="39" applyNumberFormat="1" applyFont="1" applyBorder="1"/>
    <xf numFmtId="3" fontId="12" fillId="0" borderId="22" xfId="39" applyNumberFormat="1" applyFont="1" applyBorder="1"/>
    <xf numFmtId="3" fontId="12" fillId="0" borderId="60" xfId="39" applyNumberFormat="1" applyFont="1" applyBorder="1"/>
    <xf numFmtId="0" fontId="12" fillId="0" borderId="70" xfId="39" applyFont="1" applyBorder="1"/>
    <xf numFmtId="0" fontId="13" fillId="0" borderId="22" xfId="39" applyFont="1" applyBorder="1"/>
    <xf numFmtId="0" fontId="13" fillId="0" borderId="60" xfId="39" applyFont="1" applyBorder="1"/>
    <xf numFmtId="0" fontId="12" fillId="0" borderId="22" xfId="39" applyFont="1" applyBorder="1"/>
    <xf numFmtId="0" fontId="13" fillId="0" borderId="11" xfId="39" applyFont="1" applyBorder="1" applyAlignment="1">
      <alignment horizontal="center"/>
    </xf>
    <xf numFmtId="0" fontId="13" fillId="0" borderId="67" xfId="39" applyFont="1" applyBorder="1" applyAlignment="1">
      <alignment horizontal="center"/>
    </xf>
    <xf numFmtId="3" fontId="12" fillId="0" borderId="53" xfId="39" applyNumberFormat="1" applyFont="1" applyBorder="1"/>
    <xf numFmtId="3" fontId="12" fillId="0" borderId="41" xfId="39" applyNumberFormat="1" applyFont="1" applyBorder="1"/>
    <xf numFmtId="3" fontId="12" fillId="0" borderId="42" xfId="39" applyNumberFormat="1" applyFont="1" applyBorder="1"/>
    <xf numFmtId="3" fontId="12" fillId="0" borderId="39" xfId="39" applyNumberFormat="1" applyFont="1" applyBorder="1"/>
    <xf numFmtId="3" fontId="13" fillId="0" borderId="11" xfId="39" applyNumberFormat="1" applyFont="1" applyBorder="1"/>
    <xf numFmtId="0" fontId="13" fillId="0" borderId="67" xfId="39" applyFont="1" applyBorder="1"/>
    <xf numFmtId="3" fontId="12" fillId="0" borderId="11" xfId="39" applyNumberFormat="1" applyFont="1" applyBorder="1"/>
    <xf numFmtId="0" fontId="13" fillId="0" borderId="9" xfId="39" applyFont="1" applyBorder="1"/>
    <xf numFmtId="3" fontId="13" fillId="0" borderId="8" xfId="39" applyNumberFormat="1" applyFont="1" applyBorder="1"/>
    <xf numFmtId="0" fontId="12" fillId="0" borderId="0" xfId="39" applyFont="1" applyAlignment="1">
      <alignment horizontal="center"/>
    </xf>
    <xf numFmtId="0" fontId="13" fillId="0" borderId="6" xfId="2" applyFont="1" applyBorder="1" applyAlignment="1">
      <alignment vertical="center"/>
    </xf>
    <xf numFmtId="0" fontId="13" fillId="0" borderId="49" xfId="2" applyFont="1" applyBorder="1" applyAlignment="1">
      <alignment vertical="center"/>
    </xf>
    <xf numFmtId="0" fontId="13" fillId="0" borderId="49" xfId="2" applyFont="1" applyBorder="1" applyAlignment="1">
      <alignment horizontal="left" vertical="center"/>
    </xf>
    <xf numFmtId="0" fontId="13" fillId="0" borderId="21" xfId="2" applyFont="1" applyBorder="1" applyAlignment="1">
      <alignment vertical="center"/>
    </xf>
    <xf numFmtId="0" fontId="13" fillId="0" borderId="0" xfId="39" applyFont="1"/>
    <xf numFmtId="0" fontId="13" fillId="0" borderId="0" xfId="39" applyFont="1" applyAlignment="1">
      <alignment horizontal="left"/>
    </xf>
    <xf numFmtId="0" fontId="13" fillId="2" borderId="18" xfId="2" applyFont="1" applyFill="1" applyBorder="1" applyAlignment="1">
      <alignment horizontal="left" vertical="center"/>
    </xf>
    <xf numFmtId="49" fontId="13" fillId="0" borderId="14" xfId="39" applyNumberFormat="1" applyFont="1" applyBorder="1" applyAlignment="1">
      <alignment horizontal="center" vertical="top" wrapText="1"/>
    </xf>
    <xf numFmtId="0" fontId="13" fillId="0" borderId="4" xfId="2" applyFont="1" applyBorder="1" applyAlignment="1">
      <alignment horizontal="left" vertical="center"/>
    </xf>
    <xf numFmtId="169" fontId="12" fillId="0" borderId="4" xfId="5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14" fontId="13" fillId="0" borderId="4" xfId="2" applyNumberFormat="1" applyFont="1" applyBorder="1" applyAlignment="1">
      <alignment vertical="center"/>
    </xf>
    <xf numFmtId="49" fontId="12" fillId="0" borderId="14" xfId="53" applyNumberFormat="1" applyFont="1" applyBorder="1" applyAlignment="1">
      <alignment horizontal="left" vertical="top" wrapText="1"/>
    </xf>
    <xf numFmtId="0" fontId="12" fillId="0" borderId="4" xfId="2" applyFont="1" applyBorder="1" applyAlignment="1">
      <alignment horizontal="left" vertical="center"/>
    </xf>
    <xf numFmtId="0" fontId="4" fillId="0" borderId="4" xfId="39" applyFont="1" applyBorder="1" applyAlignment="1">
      <alignment horizontal="left"/>
    </xf>
    <xf numFmtId="14" fontId="12" fillId="0" borderId="4" xfId="2" applyNumberFormat="1" applyFont="1" applyBorder="1" applyAlignment="1">
      <alignment vertical="center"/>
    </xf>
    <xf numFmtId="14" fontId="12" fillId="0" borderId="4" xfId="2" applyNumberFormat="1" applyFont="1" applyBorder="1" applyAlignment="1">
      <alignment horizontal="center" vertical="center"/>
    </xf>
    <xf numFmtId="169" fontId="4" fillId="0" borderId="4" xfId="52" applyFont="1" applyBorder="1" applyAlignment="1">
      <alignment horizontal="left" vertical="center"/>
    </xf>
    <xf numFmtId="0" fontId="58" fillId="0" borderId="0" xfId="39" applyFont="1" applyAlignment="1">
      <alignment horizontal="left"/>
    </xf>
    <xf numFmtId="0" fontId="4" fillId="0" borderId="4" xfId="2" applyFont="1" applyBorder="1" applyAlignment="1">
      <alignment horizontal="left" vertical="center"/>
    </xf>
    <xf numFmtId="0" fontId="4" fillId="0" borderId="0" xfId="39" applyFont="1" applyAlignment="1">
      <alignment horizontal="left"/>
    </xf>
    <xf numFmtId="49" fontId="13" fillId="0" borderId="14" xfId="53" applyNumberFormat="1" applyFont="1" applyBorder="1" applyAlignment="1">
      <alignment horizontal="left" vertical="top" wrapText="1"/>
    </xf>
    <xf numFmtId="169" fontId="13" fillId="0" borderId="4" xfId="52" applyFont="1" applyBorder="1" applyAlignment="1">
      <alignment horizontal="center" vertical="center"/>
    </xf>
    <xf numFmtId="0" fontId="6" fillId="0" borderId="4" xfId="39" applyFont="1" applyBorder="1" applyAlignment="1">
      <alignment horizontal="left"/>
    </xf>
    <xf numFmtId="0" fontId="13" fillId="4" borderId="5" xfId="2" applyFont="1" applyFill="1" applyBorder="1" applyAlignment="1">
      <alignment horizontal="center" vertical="center"/>
    </xf>
    <xf numFmtId="0" fontId="13" fillId="4" borderId="18" xfId="2" applyFont="1" applyFill="1" applyBorder="1" applyAlignment="1">
      <alignment horizontal="left" vertical="center"/>
    </xf>
    <xf numFmtId="0" fontId="13" fillId="4" borderId="18" xfId="2" applyFont="1" applyFill="1" applyBorder="1" applyAlignment="1">
      <alignment horizontal="center" vertical="center"/>
    </xf>
    <xf numFmtId="169" fontId="13" fillId="4" borderId="5" xfId="52" applyFont="1" applyFill="1" applyBorder="1" applyAlignment="1">
      <alignment horizontal="center" vertical="center"/>
    </xf>
    <xf numFmtId="0" fontId="6" fillId="4" borderId="18" xfId="39" applyFont="1" applyFill="1" applyBorder="1" applyAlignment="1">
      <alignment horizontal="left"/>
    </xf>
    <xf numFmtId="14" fontId="13" fillId="4" borderId="18" xfId="2" applyNumberFormat="1" applyFont="1" applyFill="1" applyBorder="1" applyAlignment="1">
      <alignment vertical="center"/>
    </xf>
    <xf numFmtId="14" fontId="13" fillId="4" borderId="18" xfId="2" applyNumberFormat="1" applyFont="1" applyFill="1" applyBorder="1" applyAlignment="1">
      <alignment horizontal="center" vertical="center"/>
    </xf>
    <xf numFmtId="0" fontId="12" fillId="4" borderId="5" xfId="2" applyFont="1" applyFill="1" applyBorder="1" applyAlignment="1">
      <alignment vertical="center"/>
    </xf>
    <xf numFmtId="49" fontId="13" fillId="41" borderId="14" xfId="39" applyNumberFormat="1" applyFont="1" applyFill="1" applyBorder="1" applyAlignment="1">
      <alignment horizontal="center" vertical="top" wrapText="1"/>
    </xf>
    <xf numFmtId="49" fontId="12" fillId="0" borderId="11" xfId="53" applyNumberFormat="1" applyFont="1" applyBorder="1" applyAlignment="1">
      <alignment horizontal="left" vertical="top" wrapText="1"/>
    </xf>
    <xf numFmtId="0" fontId="12" fillId="0" borderId="8" xfId="2" applyFont="1" applyBorder="1" applyAlignment="1">
      <alignment horizontal="left" vertical="center"/>
    </xf>
    <xf numFmtId="169" fontId="12" fillId="0" borderId="8" xfId="52" applyFont="1" applyBorder="1" applyAlignment="1">
      <alignment horizontal="center" vertical="center"/>
    </xf>
    <xf numFmtId="0" fontId="4" fillId="0" borderId="8" xfId="39" applyFont="1" applyBorder="1" applyAlignment="1">
      <alignment horizontal="left"/>
    </xf>
    <xf numFmtId="14" fontId="12" fillId="0" borderId="8" xfId="2" applyNumberFormat="1" applyFont="1" applyBorder="1" applyAlignment="1">
      <alignment vertical="center"/>
    </xf>
    <xf numFmtId="14" fontId="12" fillId="0" borderId="8" xfId="2" applyNumberFormat="1" applyFont="1" applyBorder="1" applyAlignment="1">
      <alignment horizontal="center" vertical="center"/>
    </xf>
    <xf numFmtId="0" fontId="13" fillId="4" borderId="18" xfId="2" applyFont="1" applyFill="1" applyBorder="1" applyAlignment="1">
      <alignment vertical="center"/>
    </xf>
    <xf numFmtId="0" fontId="13" fillId="0" borderId="11" xfId="2" applyFont="1" applyBorder="1" applyAlignment="1">
      <alignment horizontal="center" vertical="center"/>
    </xf>
    <xf numFmtId="14" fontId="13" fillId="0" borderId="8" xfId="2" applyNumberFormat="1" applyFont="1" applyBorder="1" applyAlignment="1">
      <alignment vertical="center"/>
    </xf>
    <xf numFmtId="14" fontId="13" fillId="0" borderId="8" xfId="2" applyNumberFormat="1" applyFont="1" applyBorder="1" applyAlignment="1">
      <alignment horizontal="center" vertical="center"/>
    </xf>
    <xf numFmtId="3" fontId="13" fillId="0" borderId="0" xfId="2" applyNumberFormat="1" applyFont="1" applyAlignment="1">
      <alignment vertical="center"/>
    </xf>
    <xf numFmtId="3" fontId="13" fillId="0" borderId="51" xfId="2" applyNumberFormat="1" applyFont="1" applyBorder="1" applyAlignment="1">
      <alignment vertical="center"/>
    </xf>
    <xf numFmtId="0" fontId="13" fillId="0" borderId="57" xfId="2" applyFont="1" applyBorder="1" applyAlignment="1">
      <alignment horizontal="center" vertical="center" wrapText="1"/>
    </xf>
    <xf numFmtId="0" fontId="55" fillId="45" borderId="103" xfId="0" applyFont="1" applyFill="1" applyBorder="1"/>
    <xf numFmtId="3" fontId="55" fillId="45" borderId="103" xfId="0" applyNumberFormat="1" applyFont="1" applyFill="1" applyBorder="1"/>
    <xf numFmtId="4" fontId="55" fillId="45" borderId="103" xfId="0" applyNumberFormat="1" applyFont="1" applyFill="1" applyBorder="1"/>
    <xf numFmtId="3" fontId="55" fillId="45" borderId="104" xfId="4" applyNumberFormat="1" applyFont="1" applyFill="1" applyBorder="1"/>
    <xf numFmtId="3" fontId="55" fillId="45" borderId="103" xfId="0" applyNumberFormat="1" applyFont="1" applyFill="1" applyBorder="1" applyAlignment="1">
      <alignment horizontal="center"/>
    </xf>
    <xf numFmtId="0" fontId="55" fillId="45" borderId="105" xfId="0" applyFont="1" applyFill="1" applyBorder="1"/>
    <xf numFmtId="0" fontId="55" fillId="45" borderId="106" xfId="0" applyFont="1" applyFill="1" applyBorder="1"/>
    <xf numFmtId="4" fontId="55" fillId="45" borderId="106" xfId="0" applyNumberFormat="1" applyFont="1" applyFill="1" applyBorder="1"/>
    <xf numFmtId="3" fontId="55" fillId="45" borderId="107" xfId="4" applyNumberFormat="1" applyFont="1" applyFill="1" applyBorder="1"/>
    <xf numFmtId="0" fontId="13" fillId="5" borderId="7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2" fillId="5" borderId="20" xfId="0" applyFont="1" applyFill="1" applyBorder="1"/>
    <xf numFmtId="4" fontId="12" fillId="5" borderId="5" xfId="0" applyNumberFormat="1" applyFont="1" applyFill="1" applyBorder="1"/>
    <xf numFmtId="0" fontId="13" fillId="0" borderId="13" xfId="0" applyFont="1" applyBorder="1"/>
    <xf numFmtId="0" fontId="12" fillId="0" borderId="13" xfId="0" applyFont="1" applyBorder="1" applyAlignment="1">
      <alignment horizontal="right"/>
    </xf>
    <xf numFmtId="0" fontId="12" fillId="0" borderId="5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164" fontId="12" fillId="0" borderId="58" xfId="0" applyNumberFormat="1" applyFont="1" applyBorder="1" applyAlignment="1">
      <alignment horizontal="center"/>
    </xf>
    <xf numFmtId="164" fontId="12" fillId="0" borderId="51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59" fillId="0" borderId="13" xfId="0" applyFont="1" applyBorder="1" applyAlignment="1">
      <alignment horizontal="right"/>
    </xf>
    <xf numFmtId="0" fontId="59" fillId="0" borderId="13" xfId="0" applyFont="1" applyBorder="1" applyAlignment="1">
      <alignment horizontal="left"/>
    </xf>
    <xf numFmtId="49" fontId="12" fillId="0" borderId="58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3" fontId="12" fillId="0" borderId="43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77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9" fillId="7" borderId="12" xfId="3" applyNumberFormat="1" applyFont="1" applyFill="1" applyBorder="1" applyAlignment="1" applyProtection="1">
      <alignment horizontal="center" vertical="center" wrapText="1"/>
    </xf>
    <xf numFmtId="49" fontId="9" fillId="7" borderId="11" xfId="3" applyNumberFormat="1" applyFont="1" applyFill="1" applyBorder="1" applyAlignment="1" applyProtection="1">
      <alignment horizontal="center" vertical="center" wrapText="1"/>
    </xf>
    <xf numFmtId="49" fontId="9" fillId="7" borderId="6" xfId="3" applyFont="1" applyFill="1" applyBorder="1" applyAlignment="1">
      <alignment horizontal="center" vertical="center" wrapText="1"/>
    </xf>
    <xf numFmtId="49" fontId="9" fillId="7" borderId="49" xfId="3" applyFont="1" applyFill="1" applyBorder="1" applyAlignment="1">
      <alignment horizontal="center" vertical="center" wrapText="1"/>
    </xf>
    <xf numFmtId="49" fontId="9" fillId="7" borderId="21" xfId="3" applyFont="1" applyFill="1" applyBorder="1" applyAlignment="1">
      <alignment horizontal="center" vertical="center" wrapText="1"/>
    </xf>
    <xf numFmtId="49" fontId="5" fillId="0" borderId="12" xfId="3" applyFont="1" applyBorder="1" applyAlignment="1">
      <alignment horizontal="center" vertical="center"/>
    </xf>
    <xf numFmtId="49" fontId="5" fillId="0" borderId="14" xfId="3" applyFont="1" applyBorder="1" applyAlignment="1">
      <alignment horizontal="center" vertical="center"/>
    </xf>
    <xf numFmtId="49" fontId="5" fillId="0" borderId="11" xfId="3" applyFont="1" applyBorder="1" applyAlignment="1">
      <alignment horizontal="center" vertical="center"/>
    </xf>
    <xf numFmtId="49" fontId="5" fillId="0" borderId="12" xfId="3" applyFont="1" applyBorder="1" applyAlignment="1">
      <alignment horizontal="center" vertical="center" wrapText="1"/>
    </xf>
    <xf numFmtId="49" fontId="5" fillId="0" borderId="14" xfId="3" applyFont="1" applyBorder="1" applyAlignment="1">
      <alignment horizontal="center" vertical="center" wrapText="1"/>
    </xf>
    <xf numFmtId="49" fontId="5" fillId="0" borderId="11" xfId="3" applyFont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0" fontId="9" fillId="7" borderId="49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49" fontId="13" fillId="7" borderId="32" xfId="3" applyFont="1" applyFill="1" applyBorder="1" applyAlignment="1">
      <alignment horizontal="center" vertical="center" wrapText="1"/>
    </xf>
    <xf numFmtId="49" fontId="13" fillId="7" borderId="31" xfId="3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49" fontId="13" fillId="7" borderId="30" xfId="3" applyFont="1" applyFill="1" applyBorder="1" applyAlignment="1">
      <alignment horizontal="center" vertical="center"/>
    </xf>
    <xf numFmtId="49" fontId="13" fillId="7" borderId="32" xfId="3" applyFont="1" applyFill="1" applyBorder="1" applyAlignment="1">
      <alignment horizontal="center" vertical="center"/>
    </xf>
    <xf numFmtId="49" fontId="13" fillId="7" borderId="31" xfId="3" applyFont="1" applyFill="1" applyBorder="1" applyAlignment="1">
      <alignment horizontal="center" vertical="center"/>
    </xf>
    <xf numFmtId="49" fontId="13" fillId="7" borderId="30" xfId="3" applyFont="1" applyFill="1" applyBorder="1" applyAlignment="1">
      <alignment horizontal="center" vertical="center" wrapText="1"/>
    </xf>
    <xf numFmtId="49" fontId="13" fillId="7" borderId="68" xfId="3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9" fillId="7" borderId="65" xfId="2" applyFont="1" applyFill="1" applyBorder="1" applyAlignment="1">
      <alignment horizontal="center" vertical="center"/>
    </xf>
    <xf numFmtId="0" fontId="9" fillId="7" borderId="69" xfId="2" applyFont="1" applyFill="1" applyBorder="1" applyAlignment="1">
      <alignment horizontal="center" vertical="center"/>
    </xf>
    <xf numFmtId="0" fontId="9" fillId="7" borderId="62" xfId="2" applyFont="1" applyFill="1" applyBorder="1" applyAlignment="1">
      <alignment horizontal="center" vertical="center"/>
    </xf>
    <xf numFmtId="0" fontId="9" fillId="7" borderId="19" xfId="2" applyFont="1" applyFill="1" applyBorder="1" applyAlignment="1">
      <alignment horizontal="center" vertical="center"/>
    </xf>
    <xf numFmtId="0" fontId="9" fillId="7" borderId="20" xfId="2" applyFont="1" applyFill="1" applyBorder="1" applyAlignment="1">
      <alignment horizontal="center" vertical="center"/>
    </xf>
    <xf numFmtId="0" fontId="9" fillId="7" borderId="18" xfId="2" applyFont="1" applyFill="1" applyBorder="1" applyAlignment="1">
      <alignment horizontal="center" vertical="center"/>
    </xf>
    <xf numFmtId="0" fontId="49" fillId="7" borderId="6" xfId="2" applyFont="1" applyFill="1" applyBorder="1" applyAlignment="1">
      <alignment horizontal="center" vertical="center"/>
    </xf>
    <xf numFmtId="0" fontId="49" fillId="7" borderId="49" xfId="2" applyFont="1" applyFill="1" applyBorder="1" applyAlignment="1">
      <alignment horizontal="center" vertical="center"/>
    </xf>
    <xf numFmtId="0" fontId="49" fillId="7" borderId="21" xfId="2" applyFont="1" applyFill="1" applyBorder="1" applyAlignment="1">
      <alignment horizontal="center" vertical="center"/>
    </xf>
    <xf numFmtId="0" fontId="13" fillId="7" borderId="49" xfId="2" applyFont="1" applyFill="1" applyBorder="1" applyAlignment="1">
      <alignment horizontal="center" vertical="center"/>
    </xf>
    <xf numFmtId="0" fontId="13" fillId="7" borderId="19" xfId="2" applyFont="1" applyFill="1" applyBorder="1" applyAlignment="1">
      <alignment horizontal="center" vertical="center"/>
    </xf>
    <xf numFmtId="0" fontId="13" fillId="7" borderId="20" xfId="2" applyFont="1" applyFill="1" applyBorder="1" applyAlignment="1">
      <alignment horizontal="center" vertical="center"/>
    </xf>
    <xf numFmtId="0" fontId="13" fillId="7" borderId="18" xfId="2" applyFont="1" applyFill="1" applyBorder="1" applyAlignment="1">
      <alignment horizontal="center" vertical="center"/>
    </xf>
    <xf numFmtId="0" fontId="6" fillId="7" borderId="19" xfId="2" applyFont="1" applyFill="1" applyBorder="1" applyAlignment="1">
      <alignment horizontal="center" vertical="center"/>
    </xf>
    <xf numFmtId="0" fontId="6" fillId="7" borderId="18" xfId="2" applyFont="1" applyFill="1" applyBorder="1" applyAlignment="1">
      <alignment horizontal="center" vertical="center"/>
    </xf>
    <xf numFmtId="0" fontId="6" fillId="7" borderId="20" xfId="2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wrapText="1"/>
    </xf>
    <xf numFmtId="0" fontId="13" fillId="7" borderId="18" xfId="0" applyFont="1" applyFill="1" applyBorder="1" applyAlignment="1">
      <alignment horizontal="center" wrapText="1"/>
    </xf>
    <xf numFmtId="0" fontId="13" fillId="7" borderId="1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3" fillId="7" borderId="12" xfId="39" applyFont="1" applyFill="1" applyBorder="1" applyAlignment="1">
      <alignment horizontal="center" vertical="center" wrapText="1"/>
    </xf>
    <xf numFmtId="0" fontId="13" fillId="7" borderId="14" xfId="39" applyFont="1" applyFill="1" applyBorder="1" applyAlignment="1">
      <alignment horizontal="center" vertical="center" wrapText="1"/>
    </xf>
    <xf numFmtId="0" fontId="12" fillId="7" borderId="11" xfId="39" applyFont="1" applyFill="1" applyBorder="1" applyAlignment="1">
      <alignment horizontal="center" vertical="center" wrapText="1"/>
    </xf>
    <xf numFmtId="0" fontId="13" fillId="7" borderId="19" xfId="39" applyFont="1" applyFill="1" applyBorder="1" applyAlignment="1">
      <alignment horizontal="center" vertical="center"/>
    </xf>
    <xf numFmtId="0" fontId="13" fillId="7" borderId="20" xfId="39" applyFont="1" applyFill="1" applyBorder="1" applyAlignment="1">
      <alignment horizontal="center" vertical="center"/>
    </xf>
    <xf numFmtId="0" fontId="13" fillId="7" borderId="18" xfId="39" applyFont="1" applyFill="1" applyBorder="1" applyAlignment="1">
      <alignment horizontal="center" vertical="center"/>
    </xf>
    <xf numFmtId="0" fontId="13" fillId="7" borderId="19" xfId="39" applyFont="1" applyFill="1" applyBorder="1" applyAlignment="1">
      <alignment horizontal="center" vertical="center" wrapText="1"/>
    </xf>
    <xf numFmtId="0" fontId="13" fillId="7" borderId="18" xfId="39" applyFont="1" applyFill="1" applyBorder="1" applyAlignment="1">
      <alignment horizontal="center" vertical="center" wrapText="1"/>
    </xf>
    <xf numFmtId="0" fontId="13" fillId="7" borderId="61" xfId="39" applyFont="1" applyFill="1" applyBorder="1" applyAlignment="1">
      <alignment horizontal="center" vertical="center" textRotation="90" wrapText="1"/>
    </xf>
    <xf numFmtId="0" fontId="38" fillId="7" borderId="9" xfId="39" applyFont="1" applyFill="1" applyBorder="1" applyAlignment="1">
      <alignment horizontal="center"/>
    </xf>
    <xf numFmtId="0" fontId="13" fillId="7" borderId="21" xfId="39" applyFont="1" applyFill="1" applyBorder="1" applyAlignment="1">
      <alignment horizontal="center" vertical="center" textRotation="90" wrapText="1"/>
    </xf>
    <xf numFmtId="0" fontId="13" fillId="7" borderId="8" xfId="39" applyFont="1" applyFill="1" applyBorder="1" applyAlignment="1">
      <alignment horizontal="center" vertical="center" textRotation="90" wrapText="1"/>
    </xf>
    <xf numFmtId="169" fontId="51" fillId="7" borderId="12" xfId="49" applyFont="1" applyFill="1" applyBorder="1" applyAlignment="1">
      <alignment horizontal="center" vertical="center" wrapText="1"/>
    </xf>
    <xf numFmtId="169" fontId="51" fillId="7" borderId="14" xfId="49" applyFont="1" applyFill="1" applyBorder="1" applyAlignment="1">
      <alignment horizontal="center" vertical="center" wrapText="1"/>
    </xf>
    <xf numFmtId="169" fontId="52" fillId="7" borderId="14" xfId="49" applyFont="1" applyFill="1" applyBorder="1" applyAlignment="1">
      <alignment horizontal="center" vertical="center" wrapText="1"/>
    </xf>
    <xf numFmtId="169" fontId="51" fillId="7" borderId="20" xfId="49" applyFont="1" applyFill="1" applyBorder="1" applyAlignment="1">
      <alignment horizontal="center" vertical="center"/>
    </xf>
    <xf numFmtId="169" fontId="51" fillId="7" borderId="19" xfId="49" applyFont="1" applyFill="1" applyBorder="1" applyAlignment="1">
      <alignment horizontal="center" vertical="center"/>
    </xf>
    <xf numFmtId="169" fontId="51" fillId="7" borderId="18" xfId="49" applyFont="1" applyFill="1" applyBorder="1" applyAlignment="1">
      <alignment horizontal="center" vertical="center"/>
    </xf>
    <xf numFmtId="169" fontId="51" fillId="7" borderId="19" xfId="49" applyFont="1" applyFill="1" applyBorder="1" applyAlignment="1">
      <alignment horizontal="center" vertical="center" wrapText="1"/>
    </xf>
    <xf numFmtId="169" fontId="51" fillId="7" borderId="18" xfId="49" applyFont="1" applyFill="1" applyBorder="1" applyAlignment="1">
      <alignment horizontal="center" vertical="center" wrapText="1"/>
    </xf>
    <xf numFmtId="0" fontId="13" fillId="7" borderId="30" xfId="2" applyFont="1" applyFill="1" applyBorder="1" applyAlignment="1">
      <alignment horizontal="center" vertical="center" wrapText="1"/>
    </xf>
    <xf numFmtId="0" fontId="13" fillId="7" borderId="39" xfId="2" applyFont="1" applyFill="1" applyBorder="1" applyAlignment="1">
      <alignment horizontal="center" vertical="center" wrapText="1"/>
    </xf>
    <xf numFmtId="0" fontId="13" fillId="7" borderId="33" xfId="2" applyFont="1" applyFill="1" applyBorder="1" applyAlignment="1">
      <alignment horizontal="center" vertical="center" wrapText="1"/>
    </xf>
    <xf numFmtId="0" fontId="13" fillId="7" borderId="42" xfId="2" applyFont="1" applyFill="1" applyBorder="1" applyAlignment="1">
      <alignment horizontal="center" vertical="center" wrapText="1"/>
    </xf>
    <xf numFmtId="0" fontId="13" fillId="7" borderId="31" xfId="2" applyFont="1" applyFill="1" applyBorder="1" applyAlignment="1">
      <alignment horizontal="center" vertical="center" wrapText="1"/>
    </xf>
    <xf numFmtId="0" fontId="13" fillId="7" borderId="40" xfId="2" applyFont="1" applyFill="1" applyBorder="1" applyAlignment="1">
      <alignment horizontal="center" vertical="center" wrapText="1"/>
    </xf>
    <xf numFmtId="0" fontId="13" fillId="7" borderId="12" xfId="2" applyFont="1" applyFill="1" applyBorder="1" applyAlignment="1">
      <alignment horizontal="center" vertical="center" wrapText="1"/>
    </xf>
    <xf numFmtId="0" fontId="13" fillId="7" borderId="5" xfId="2" applyFont="1" applyFill="1" applyBorder="1" applyAlignment="1">
      <alignment horizontal="center" vertical="center" wrapText="1"/>
    </xf>
    <xf numFmtId="0" fontId="13" fillId="7" borderId="69" xfId="2" applyFont="1" applyFill="1" applyBorder="1" applyAlignment="1">
      <alignment horizontal="center" vertical="center" wrapText="1"/>
    </xf>
    <xf numFmtId="0" fontId="13" fillId="7" borderId="20" xfId="2" applyFont="1" applyFill="1" applyBorder="1" applyAlignment="1">
      <alignment horizontal="center" vertical="center" wrapText="1"/>
    </xf>
    <xf numFmtId="0" fontId="13" fillId="7" borderId="62" xfId="2" applyFont="1" applyFill="1" applyBorder="1" applyAlignment="1">
      <alignment horizontal="center" vertical="center" wrapText="1"/>
    </xf>
    <xf numFmtId="0" fontId="13" fillId="7" borderId="89" xfId="2" applyFont="1" applyFill="1" applyBorder="1" applyAlignment="1">
      <alignment horizontal="center" vertical="center" wrapText="1"/>
    </xf>
    <xf numFmtId="0" fontId="13" fillId="7" borderId="12" xfId="2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horizontal="center" vertical="center"/>
    </xf>
    <xf numFmtId="0" fontId="13" fillId="7" borderId="11" xfId="2" applyFont="1" applyFill="1" applyBorder="1" applyAlignment="1">
      <alignment horizontal="center" vertical="center"/>
    </xf>
    <xf numFmtId="0" fontId="13" fillId="8" borderId="19" xfId="4" applyFont="1" applyFill="1" applyBorder="1" applyAlignment="1">
      <alignment horizontal="center"/>
    </xf>
    <xf numFmtId="0" fontId="13" fillId="8" borderId="20" xfId="4" applyFont="1" applyFill="1" applyBorder="1" applyAlignment="1">
      <alignment horizontal="center"/>
    </xf>
    <xf numFmtId="0" fontId="13" fillId="8" borderId="5" xfId="4" applyFont="1" applyFill="1" applyBorder="1" applyAlignment="1">
      <alignment horizontal="center" vertical="center"/>
    </xf>
    <xf numFmtId="0" fontId="13" fillId="8" borderId="14" xfId="4" applyFont="1" applyFill="1" applyBorder="1" applyAlignment="1">
      <alignment horizontal="center" vertical="center"/>
    </xf>
    <xf numFmtId="164" fontId="13" fillId="7" borderId="19" xfId="0" applyNumberFormat="1" applyFont="1" applyFill="1" applyBorder="1" applyAlignment="1">
      <alignment horizontal="center" vertical="center" wrapText="1"/>
    </xf>
    <xf numFmtId="164" fontId="13" fillId="7" borderId="20" xfId="0" applyNumberFormat="1" applyFont="1" applyFill="1" applyBorder="1" applyAlignment="1">
      <alignment horizontal="center" vertical="center" wrapText="1"/>
    </xf>
    <xf numFmtId="164" fontId="13" fillId="7" borderId="18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44" xfId="0" applyFont="1" applyFill="1" applyBorder="1" applyAlignment="1">
      <alignment horizontal="center" vertical="center" wrapText="1"/>
    </xf>
    <xf numFmtId="0" fontId="13" fillId="7" borderId="6" xfId="4" applyFont="1" applyFill="1" applyBorder="1" applyAlignment="1">
      <alignment horizontal="center" vertical="center" wrapText="1"/>
    </xf>
    <xf numFmtId="0" fontId="13" fillId="7" borderId="49" xfId="4" applyFont="1" applyFill="1" applyBorder="1" applyAlignment="1">
      <alignment horizontal="center" vertical="center" wrapText="1"/>
    </xf>
    <xf numFmtId="0" fontId="13" fillId="7" borderId="21" xfId="4" applyFont="1" applyFill="1" applyBorder="1" applyAlignment="1">
      <alignment horizontal="center" vertical="center" wrapText="1"/>
    </xf>
    <xf numFmtId="0" fontId="13" fillId="7" borderId="43" xfId="4" applyFont="1" applyFill="1" applyBorder="1" applyAlignment="1">
      <alignment horizontal="center" vertical="center" wrapText="1"/>
    </xf>
    <xf numFmtId="0" fontId="13" fillId="7" borderId="16" xfId="4" applyFont="1" applyFill="1" applyBorder="1" applyAlignment="1">
      <alignment horizontal="center" vertical="center" wrapText="1"/>
    </xf>
    <xf numFmtId="0" fontId="13" fillId="7" borderId="17" xfId="4" applyFont="1" applyFill="1" applyBorder="1" applyAlignment="1">
      <alignment horizontal="center" vertical="center" wrapText="1"/>
    </xf>
    <xf numFmtId="0" fontId="13" fillId="7" borderId="44" xfId="4" applyFont="1" applyFill="1" applyBorder="1" applyAlignment="1">
      <alignment horizontal="center" vertical="center" wrapText="1"/>
    </xf>
    <xf numFmtId="164" fontId="13" fillId="7" borderId="19" xfId="4" applyNumberFormat="1" applyFont="1" applyFill="1" applyBorder="1" applyAlignment="1">
      <alignment horizontal="center" vertical="center" wrapText="1"/>
    </xf>
    <xf numFmtId="164" fontId="13" fillId="7" borderId="20" xfId="4" applyNumberFormat="1" applyFont="1" applyFill="1" applyBorder="1" applyAlignment="1">
      <alignment horizontal="center" vertical="center" wrapText="1"/>
    </xf>
    <xf numFmtId="164" fontId="13" fillId="7" borderId="18" xfId="4" applyNumberFormat="1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</cellXfs>
  <cellStyles count="54">
    <cellStyle name="20% - Énfasis1" xfId="22" builtinId="30" customBuiltin="1"/>
    <cellStyle name="20% - Énfasis2" xfId="25" builtinId="34" customBuiltin="1"/>
    <cellStyle name="20% - Énfasis3" xfId="28" builtinId="38" customBuiltin="1"/>
    <cellStyle name="20% - Énfasis4" xfId="31" builtinId="42" customBuiltin="1"/>
    <cellStyle name="20% - Énfasis5" xfId="34" builtinId="46" customBuiltin="1"/>
    <cellStyle name="20% - Énfasis6" xfId="37" builtinId="50" customBuiltin="1"/>
    <cellStyle name="40% - Énfasis1" xfId="23" builtinId="31" customBuiltin="1"/>
    <cellStyle name="40% - Énfasis2" xfId="26" builtinId="35" customBuiltin="1"/>
    <cellStyle name="40% - Énfasis3" xfId="29" builtinId="39" customBuiltin="1"/>
    <cellStyle name="40% - Énfasis4" xfId="32" builtinId="43" customBuiltin="1"/>
    <cellStyle name="40% - Énfasis5" xfId="35" builtinId="47" customBuiltin="1"/>
    <cellStyle name="40% - Énfasis6" xfId="38" builtinId="51" customBuiltin="1"/>
    <cellStyle name="60% - Énfasis1 2" xfId="42" xr:uid="{B312FEAA-343A-4D2B-A692-B55139FCE598}"/>
    <cellStyle name="60% - Énfasis2 2" xfId="43" xr:uid="{08559117-5790-43E2-91B1-70FB33A80C5B}"/>
    <cellStyle name="60% - Énfasis3 2" xfId="44" xr:uid="{0C2E3225-DBE8-4883-B23A-A78944811307}"/>
    <cellStyle name="60% - Énfasis4 2" xfId="45" xr:uid="{CC11A650-1835-4377-BF02-0CB7DE4F9A85}"/>
    <cellStyle name="60% - Énfasis5 2" xfId="46" xr:uid="{4412EB23-0D63-4631-AC43-981A64075125}"/>
    <cellStyle name="60% - Énfasis6 2" xfId="47" xr:uid="{31389789-1C2C-4D72-AB1D-3FB5E1D41983}"/>
    <cellStyle name="Bueno" xfId="11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7" builtinId="16" customBuiltin="1"/>
    <cellStyle name="Encabezado 4" xfId="10" builtinId="19" customBuiltin="1"/>
    <cellStyle name="Énfasis1" xfId="21" builtinId="29" customBuiltin="1"/>
    <cellStyle name="Énfasis2" xfId="24" builtinId="33" customBuiltin="1"/>
    <cellStyle name="Énfasis3" xfId="27" builtinId="37" customBuiltin="1"/>
    <cellStyle name="Énfasis4" xfId="30" builtinId="41" customBuiltin="1"/>
    <cellStyle name="Énfasis5" xfId="33" builtinId="45" customBuiltin="1"/>
    <cellStyle name="Énfasis6" xfId="36" builtinId="49" customBuiltin="1"/>
    <cellStyle name="Entrada" xfId="13" builtinId="20" customBuiltin="1"/>
    <cellStyle name="Incorrecto" xfId="12" builtinId="27" customBuiltin="1"/>
    <cellStyle name="Millares" xfId="5" builtinId="3"/>
    <cellStyle name="Millares 2" xfId="49" xr:uid="{E0ED54AF-215F-4396-9F1E-DC6594C971AA}"/>
    <cellStyle name="Millares 4" xfId="51" xr:uid="{995CA65D-EB23-4C44-B665-7772B0EF4329}"/>
    <cellStyle name="Millares 6" xfId="52" xr:uid="{DCF58BCB-2E45-4450-B0B3-BC052BE01C1A}"/>
    <cellStyle name="Neutral 2" xfId="40" xr:uid="{A0E4E638-CBA1-4188-916D-D0F88460C251}"/>
    <cellStyle name="Normal" xfId="0" builtinId="0"/>
    <cellStyle name="Normal 2" xfId="4" xr:uid="{00000000-0005-0000-0000-000001000000}"/>
    <cellStyle name="Normal 3" xfId="39" xr:uid="{960413B3-4070-4FC6-B5A2-E8537FE083CA}"/>
    <cellStyle name="Normal 4 2" xfId="53" xr:uid="{A19C18C8-7818-4D37-889C-F99C4CE65B15}"/>
    <cellStyle name="Normal_ESTR98" xfId="1" xr:uid="{00000000-0005-0000-0000-000002000000}"/>
    <cellStyle name="Normal_PLAZAS98" xfId="2" xr:uid="{00000000-0005-0000-0000-000003000000}"/>
    <cellStyle name="Normal_PLAZAS98_FORMULARIO Nº 18 CPCG-CR-2008" xfId="50" xr:uid="{C38D5D8A-10E2-44E9-A6FC-91FF80C7098E}"/>
    <cellStyle name="Normal_SPGG98" xfId="3" xr:uid="{00000000-0005-0000-0000-000004000000}"/>
    <cellStyle name="Notas 2" xfId="41" xr:uid="{698B58C5-E426-4E14-91B9-7F83589BE517}"/>
    <cellStyle name="Porcentaje" xfId="48" builtinId="5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0" builtinId="25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nidad%20D\disco%20d\varios%20d\form%202021\sust%20congreso\UE%20403%20H%20VENTANILLA%20FORMATOS%20PARA%20CONGRESO%202021%20de%20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-01"/>
      <sheetName val="F-02"/>
      <sheetName val="F-03"/>
      <sheetName val="F-04"/>
      <sheetName val="F-05"/>
      <sheetName val="F-06"/>
      <sheetName val="F-07"/>
      <sheetName val="F-08"/>
      <sheetName val="F-09"/>
      <sheetName val="F-10"/>
      <sheetName val="F-11"/>
      <sheetName val="F-12 "/>
      <sheetName val="F-13"/>
      <sheetName val="F-14 "/>
      <sheetName val="F-15"/>
      <sheetName val="F-16 "/>
      <sheetName val="F-17 "/>
      <sheetName val="F-1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</sheetPr>
  <dimension ref="A1:SR34"/>
  <sheetViews>
    <sheetView view="pageLayout" topLeftCell="A12" zoomScaleNormal="100" zoomScaleSheetLayoutView="100" workbookViewId="0">
      <selection activeCell="B1" sqref="B1"/>
    </sheetView>
  </sheetViews>
  <sheetFormatPr baseColWidth="10" defaultColWidth="11.42578125" defaultRowHeight="12.75" x14ac:dyDescent="0.2"/>
  <cols>
    <col min="1" max="1" width="19.85546875" style="155" customWidth="1"/>
    <col min="2" max="2" width="69.85546875" style="156" customWidth="1"/>
    <col min="3" max="5" width="8.7109375" style="155" customWidth="1"/>
    <col min="6" max="16384" width="11.42578125" style="155"/>
  </cols>
  <sheetData>
    <row r="1" spans="1:512" s="154" customFormat="1" ht="15.75" x14ac:dyDescent="0.2">
      <c r="A1" s="152" t="s">
        <v>374</v>
      </c>
      <c r="B1" s="153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  <c r="IW1" s="159"/>
      <c r="IX1" s="159"/>
      <c r="IY1" s="159"/>
      <c r="IZ1" s="159"/>
      <c r="JA1" s="159"/>
      <c r="JB1" s="159"/>
      <c r="JC1" s="159"/>
      <c r="JD1" s="159"/>
      <c r="JE1" s="159"/>
      <c r="JF1" s="159"/>
      <c r="JG1" s="159"/>
      <c r="JH1" s="159"/>
      <c r="JI1" s="159"/>
      <c r="JJ1" s="159"/>
      <c r="JK1" s="159"/>
      <c r="JL1" s="159"/>
      <c r="JM1" s="159"/>
      <c r="JN1" s="159"/>
      <c r="JO1" s="159"/>
      <c r="JP1" s="159"/>
      <c r="JQ1" s="159"/>
      <c r="JR1" s="159"/>
      <c r="JS1" s="159"/>
      <c r="JT1" s="159"/>
      <c r="JU1" s="159"/>
      <c r="JV1" s="159"/>
      <c r="JW1" s="159"/>
      <c r="JX1" s="159"/>
      <c r="JY1" s="159"/>
      <c r="JZ1" s="159"/>
      <c r="KA1" s="159"/>
      <c r="KB1" s="159"/>
      <c r="KC1" s="159"/>
      <c r="KD1" s="159"/>
      <c r="KE1" s="159"/>
      <c r="KF1" s="159"/>
      <c r="KG1" s="159"/>
      <c r="KH1" s="159"/>
      <c r="KI1" s="159"/>
      <c r="KJ1" s="159"/>
      <c r="KK1" s="159"/>
      <c r="KL1" s="159"/>
      <c r="KM1" s="159"/>
      <c r="KN1" s="159"/>
      <c r="KO1" s="159"/>
      <c r="KP1" s="159"/>
      <c r="KQ1" s="159"/>
      <c r="KR1" s="159"/>
      <c r="KS1" s="159"/>
      <c r="KT1" s="159"/>
      <c r="KU1" s="159"/>
      <c r="KV1" s="159"/>
      <c r="KW1" s="159"/>
      <c r="KX1" s="159"/>
      <c r="KY1" s="159"/>
      <c r="KZ1" s="159"/>
      <c r="LA1" s="159"/>
      <c r="LB1" s="159"/>
      <c r="LC1" s="159"/>
      <c r="LD1" s="159"/>
      <c r="LE1" s="159"/>
      <c r="LF1" s="159"/>
      <c r="LG1" s="159"/>
      <c r="LH1" s="159"/>
      <c r="LI1" s="159"/>
      <c r="LJ1" s="159"/>
      <c r="LK1" s="159"/>
      <c r="LL1" s="159"/>
      <c r="LM1" s="159"/>
      <c r="LN1" s="159"/>
      <c r="LO1" s="159"/>
      <c r="LP1" s="159"/>
      <c r="LQ1" s="159"/>
      <c r="LR1" s="159"/>
      <c r="LS1" s="159"/>
      <c r="LT1" s="159"/>
      <c r="LU1" s="159"/>
      <c r="LV1" s="159"/>
      <c r="LW1" s="159"/>
      <c r="LX1" s="159"/>
      <c r="LY1" s="159"/>
      <c r="LZ1" s="159"/>
      <c r="MA1" s="159"/>
      <c r="MB1" s="159"/>
      <c r="MC1" s="159"/>
      <c r="MD1" s="159"/>
      <c r="ME1" s="159"/>
      <c r="MF1" s="159"/>
      <c r="MG1" s="159"/>
      <c r="MH1" s="159"/>
      <c r="MI1" s="159"/>
      <c r="MJ1" s="159"/>
      <c r="MK1" s="159"/>
      <c r="ML1" s="159"/>
      <c r="MM1" s="159"/>
      <c r="MN1" s="159"/>
      <c r="MO1" s="159"/>
      <c r="MP1" s="159"/>
      <c r="MQ1" s="159"/>
      <c r="MR1" s="159"/>
      <c r="MS1" s="159"/>
      <c r="MT1" s="159"/>
      <c r="MU1" s="159"/>
      <c r="MV1" s="159"/>
      <c r="MW1" s="159"/>
      <c r="MX1" s="159"/>
      <c r="MY1" s="159"/>
      <c r="MZ1" s="159"/>
      <c r="NA1" s="159"/>
      <c r="NB1" s="159"/>
      <c r="NC1" s="159"/>
      <c r="ND1" s="159"/>
      <c r="NE1" s="159"/>
      <c r="NF1" s="159"/>
      <c r="NG1" s="159"/>
      <c r="NH1" s="159"/>
      <c r="NI1" s="159"/>
      <c r="NJ1" s="159"/>
      <c r="NK1" s="159"/>
      <c r="NL1" s="159"/>
      <c r="NM1" s="159"/>
      <c r="NN1" s="159"/>
      <c r="NO1" s="159"/>
      <c r="NP1" s="159"/>
      <c r="NQ1" s="159"/>
      <c r="NR1" s="159"/>
      <c r="NS1" s="159"/>
      <c r="NT1" s="159"/>
      <c r="NU1" s="159"/>
      <c r="NV1" s="159"/>
      <c r="NW1" s="159"/>
      <c r="NX1" s="159"/>
      <c r="NY1" s="159"/>
      <c r="NZ1" s="159"/>
      <c r="OA1" s="159"/>
      <c r="OB1" s="159"/>
      <c r="OC1" s="159"/>
      <c r="OD1" s="159"/>
      <c r="OE1" s="159"/>
      <c r="OF1" s="159"/>
      <c r="OG1" s="159"/>
      <c r="OH1" s="159"/>
      <c r="OI1" s="159"/>
      <c r="OJ1" s="159"/>
      <c r="OK1" s="159"/>
      <c r="OL1" s="159"/>
      <c r="OM1" s="159"/>
      <c r="ON1" s="159"/>
      <c r="OO1" s="159"/>
      <c r="OP1" s="159"/>
      <c r="OQ1" s="159"/>
      <c r="OR1" s="159"/>
      <c r="OS1" s="159"/>
      <c r="OT1" s="159"/>
      <c r="OU1" s="159"/>
      <c r="OV1" s="159"/>
      <c r="OW1" s="159"/>
      <c r="OX1" s="159"/>
      <c r="OY1" s="159"/>
      <c r="OZ1" s="159"/>
      <c r="PA1" s="159"/>
      <c r="PB1" s="159"/>
      <c r="PC1" s="159"/>
      <c r="PD1" s="159"/>
      <c r="PE1" s="159"/>
      <c r="PF1" s="159"/>
      <c r="PG1" s="159"/>
      <c r="PH1" s="159"/>
      <c r="PI1" s="159"/>
      <c r="PJ1" s="159"/>
      <c r="PK1" s="159"/>
      <c r="PL1" s="159"/>
      <c r="PM1" s="159"/>
      <c r="PN1" s="159"/>
      <c r="PO1" s="159"/>
      <c r="PP1" s="159"/>
      <c r="PQ1" s="159"/>
      <c r="PR1" s="159"/>
      <c r="PS1" s="159"/>
      <c r="PT1" s="159"/>
      <c r="PU1" s="159"/>
      <c r="PV1" s="159"/>
      <c r="PW1" s="159"/>
      <c r="PX1" s="159"/>
      <c r="PY1" s="159"/>
      <c r="PZ1" s="159"/>
      <c r="QA1" s="159"/>
      <c r="QB1" s="159"/>
      <c r="QC1" s="159"/>
      <c r="QD1" s="159"/>
      <c r="QE1" s="159"/>
      <c r="QF1" s="159"/>
      <c r="QG1" s="159"/>
      <c r="QH1" s="159"/>
      <c r="QI1" s="159"/>
      <c r="QJ1" s="159"/>
      <c r="QK1" s="159"/>
      <c r="QL1" s="159"/>
      <c r="QM1" s="159"/>
      <c r="QN1" s="159"/>
      <c r="QO1" s="159"/>
      <c r="QP1" s="159"/>
      <c r="QQ1" s="159"/>
      <c r="QR1" s="159"/>
      <c r="QS1" s="159"/>
      <c r="QT1" s="159"/>
      <c r="QU1" s="159"/>
      <c r="QV1" s="159"/>
      <c r="QW1" s="159"/>
      <c r="QX1" s="159"/>
      <c r="QY1" s="159"/>
      <c r="QZ1" s="159"/>
      <c r="RA1" s="159"/>
      <c r="RB1" s="159"/>
      <c r="RC1" s="159"/>
      <c r="RD1" s="159"/>
      <c r="RE1" s="159"/>
      <c r="RF1" s="159"/>
      <c r="RG1" s="159"/>
      <c r="RH1" s="159"/>
      <c r="RI1" s="159"/>
      <c r="RJ1" s="159"/>
      <c r="RK1" s="159"/>
      <c r="RL1" s="159"/>
      <c r="RM1" s="159"/>
      <c r="RN1" s="159"/>
      <c r="RO1" s="159"/>
      <c r="RP1" s="159"/>
      <c r="RQ1" s="159"/>
      <c r="RR1" s="159"/>
      <c r="RS1" s="159"/>
      <c r="RT1" s="159"/>
      <c r="RU1" s="159"/>
      <c r="RV1" s="159"/>
      <c r="RW1" s="159"/>
      <c r="RX1" s="159"/>
      <c r="RY1" s="159"/>
      <c r="RZ1" s="159"/>
      <c r="SA1" s="159"/>
      <c r="SB1" s="159"/>
      <c r="SC1" s="159"/>
      <c r="SD1" s="159"/>
      <c r="SE1" s="159"/>
      <c r="SF1" s="159"/>
      <c r="SG1" s="159"/>
      <c r="SH1" s="159"/>
      <c r="SI1" s="159"/>
      <c r="SJ1" s="159"/>
      <c r="SK1" s="159"/>
      <c r="SL1" s="159"/>
      <c r="SM1" s="159"/>
      <c r="SN1" s="159"/>
      <c r="SO1" s="159"/>
      <c r="SP1" s="159"/>
      <c r="SQ1" s="159"/>
      <c r="SR1" s="159"/>
    </row>
    <row r="2" spans="1:512" x14ac:dyDescent="0.2">
      <c r="C2" s="157"/>
      <c r="D2" s="157"/>
      <c r="E2" s="161"/>
      <c r="F2" s="160"/>
    </row>
    <row r="3" spans="1:512" x14ac:dyDescent="0.2">
      <c r="A3" s="158" t="s">
        <v>394</v>
      </c>
      <c r="E3" s="160"/>
      <c r="F3" s="160"/>
    </row>
    <row r="4" spans="1:512" x14ac:dyDescent="0.2">
      <c r="E4" s="160"/>
      <c r="F4" s="160"/>
    </row>
    <row r="5" spans="1:512" s="373" customFormat="1" ht="27" customHeight="1" x14ac:dyDescent="0.2">
      <c r="A5" s="378" t="s">
        <v>376</v>
      </c>
      <c r="B5" s="1421" t="s">
        <v>375</v>
      </c>
      <c r="C5" s="1422"/>
      <c r="D5" s="1422"/>
      <c r="E5" s="1423"/>
      <c r="F5" s="374"/>
    </row>
    <row r="6" spans="1:512" x14ac:dyDescent="0.2">
      <c r="A6" s="158"/>
      <c r="B6" s="372"/>
      <c r="C6" s="373"/>
      <c r="D6" s="373"/>
      <c r="E6" s="374"/>
      <c r="F6" s="160"/>
    </row>
    <row r="7" spans="1:512" x14ac:dyDescent="0.2">
      <c r="A7" s="158" t="s">
        <v>395</v>
      </c>
      <c r="B7" s="372"/>
      <c r="C7" s="373"/>
      <c r="D7" s="373"/>
      <c r="E7" s="374"/>
      <c r="F7" s="160"/>
    </row>
    <row r="8" spans="1:512" x14ac:dyDescent="0.2">
      <c r="A8" s="158"/>
      <c r="B8" s="372"/>
      <c r="C8" s="373"/>
      <c r="D8" s="373"/>
      <c r="E8" s="374"/>
      <c r="F8" s="160"/>
    </row>
    <row r="9" spans="1:512" s="373" customFormat="1" ht="27" customHeight="1" x14ac:dyDescent="0.2">
      <c r="A9" s="378" t="s">
        <v>377</v>
      </c>
      <c r="B9" s="1421" t="s">
        <v>443</v>
      </c>
      <c r="C9" s="1422"/>
      <c r="D9" s="1422"/>
      <c r="E9" s="1423"/>
      <c r="F9" s="374"/>
    </row>
    <row r="10" spans="1:512" s="373" customFormat="1" ht="27" customHeight="1" x14ac:dyDescent="0.2">
      <c r="A10" s="378" t="s">
        <v>378</v>
      </c>
      <c r="B10" s="1421" t="s">
        <v>444</v>
      </c>
      <c r="C10" s="1422"/>
      <c r="D10" s="1422"/>
      <c r="E10" s="1423"/>
      <c r="F10" s="374"/>
    </row>
    <row r="11" spans="1:512" s="373" customFormat="1" ht="27" customHeight="1" x14ac:dyDescent="0.2">
      <c r="A11" s="378" t="s">
        <v>379</v>
      </c>
      <c r="B11" s="1421" t="s">
        <v>445</v>
      </c>
      <c r="C11" s="1422"/>
      <c r="D11" s="1422"/>
      <c r="E11" s="1423"/>
      <c r="F11" s="374"/>
    </row>
    <row r="12" spans="1:512" s="373" customFormat="1" ht="27" customHeight="1" x14ac:dyDescent="0.2">
      <c r="A12" s="378" t="s">
        <v>380</v>
      </c>
      <c r="B12" s="1421" t="s">
        <v>446</v>
      </c>
      <c r="C12" s="1422"/>
      <c r="D12" s="1422"/>
      <c r="E12" s="1423"/>
      <c r="F12" s="374"/>
    </row>
    <row r="13" spans="1:512" s="373" customFormat="1" ht="27" customHeight="1" x14ac:dyDescent="0.2">
      <c r="A13" s="378" t="s">
        <v>381</v>
      </c>
      <c r="B13" s="1421" t="s">
        <v>447</v>
      </c>
      <c r="C13" s="1422"/>
      <c r="D13" s="1422"/>
      <c r="E13" s="1423"/>
      <c r="F13" s="374"/>
    </row>
    <row r="14" spans="1:512" s="373" customFormat="1" ht="27" customHeight="1" x14ac:dyDescent="0.2">
      <c r="A14" s="378" t="s">
        <v>382</v>
      </c>
      <c r="B14" s="1421" t="s">
        <v>448</v>
      </c>
      <c r="C14" s="1422"/>
      <c r="D14" s="1422"/>
      <c r="E14" s="1423"/>
      <c r="F14" s="374"/>
    </row>
    <row r="15" spans="1:512" s="373" customFormat="1" ht="27" customHeight="1" x14ac:dyDescent="0.2">
      <c r="A15" s="378" t="s">
        <v>383</v>
      </c>
      <c r="B15" s="1421" t="s">
        <v>449</v>
      </c>
      <c r="C15" s="1422"/>
      <c r="D15" s="1422"/>
      <c r="E15" s="1423"/>
      <c r="F15" s="374"/>
    </row>
    <row r="16" spans="1:512" x14ac:dyDescent="0.2">
      <c r="A16" s="158"/>
      <c r="B16" s="372"/>
      <c r="C16" s="373"/>
      <c r="D16" s="373"/>
      <c r="E16" s="374"/>
      <c r="F16" s="160"/>
    </row>
    <row r="17" spans="1:6" x14ac:dyDescent="0.2">
      <c r="A17" s="158" t="s">
        <v>396</v>
      </c>
      <c r="B17" s="372"/>
      <c r="C17" s="373"/>
      <c r="D17" s="373"/>
      <c r="E17" s="374"/>
      <c r="F17" s="160"/>
    </row>
    <row r="18" spans="1:6" x14ac:dyDescent="0.2">
      <c r="A18" s="158"/>
      <c r="B18" s="372"/>
      <c r="C18" s="373"/>
      <c r="D18" s="373"/>
      <c r="E18" s="374"/>
      <c r="F18" s="160"/>
    </row>
    <row r="19" spans="1:6" s="373" customFormat="1" ht="27" customHeight="1" x14ac:dyDescent="0.2">
      <c r="A19" s="378" t="s">
        <v>384</v>
      </c>
      <c r="B19" s="1421" t="s">
        <v>450</v>
      </c>
      <c r="C19" s="1422"/>
      <c r="D19" s="1422"/>
      <c r="E19" s="1423"/>
      <c r="F19" s="374"/>
    </row>
    <row r="20" spans="1:6" s="373" customFormat="1" ht="27" customHeight="1" x14ac:dyDescent="0.2">
      <c r="A20" s="378" t="s">
        <v>385</v>
      </c>
      <c r="B20" s="1421" t="s">
        <v>451</v>
      </c>
      <c r="C20" s="1422"/>
      <c r="D20" s="1422"/>
      <c r="E20" s="1423"/>
      <c r="F20" s="374"/>
    </row>
    <row r="21" spans="1:6" s="373" customFormat="1" ht="27" customHeight="1" x14ac:dyDescent="0.2">
      <c r="A21" s="378" t="s">
        <v>386</v>
      </c>
      <c r="B21" s="1421" t="s">
        <v>452</v>
      </c>
      <c r="C21" s="1422"/>
      <c r="D21" s="1422"/>
      <c r="E21" s="1423"/>
      <c r="F21" s="374"/>
    </row>
    <row r="22" spans="1:6" x14ac:dyDescent="0.2">
      <c r="A22" s="158"/>
      <c r="B22" s="372"/>
      <c r="C22" s="373"/>
      <c r="D22" s="373"/>
      <c r="E22" s="374"/>
      <c r="F22" s="160"/>
    </row>
    <row r="23" spans="1:6" x14ac:dyDescent="0.2">
      <c r="A23" s="158" t="s">
        <v>397</v>
      </c>
      <c r="B23" s="372"/>
      <c r="C23" s="373"/>
      <c r="D23" s="373"/>
      <c r="E23" s="374"/>
      <c r="F23" s="160"/>
    </row>
    <row r="24" spans="1:6" x14ac:dyDescent="0.2">
      <c r="A24" s="158"/>
      <c r="B24" s="372"/>
      <c r="C24" s="373"/>
      <c r="D24" s="373"/>
      <c r="E24" s="374"/>
      <c r="F24" s="160"/>
    </row>
    <row r="25" spans="1:6" s="373" customFormat="1" ht="27" customHeight="1" x14ac:dyDescent="0.2">
      <c r="A25" s="378" t="s">
        <v>387</v>
      </c>
      <c r="B25" s="1421" t="s">
        <v>453</v>
      </c>
      <c r="C25" s="1422"/>
      <c r="D25" s="1422"/>
      <c r="E25" s="1423"/>
      <c r="F25" s="374"/>
    </row>
    <row r="26" spans="1:6" s="373" customFormat="1" ht="27" customHeight="1" x14ac:dyDescent="0.2">
      <c r="A26" s="378" t="s">
        <v>388</v>
      </c>
      <c r="B26" s="1421" t="s">
        <v>454</v>
      </c>
      <c r="C26" s="1422"/>
      <c r="D26" s="1422"/>
      <c r="E26" s="1423"/>
      <c r="F26" s="374"/>
    </row>
    <row r="27" spans="1:6" s="373" customFormat="1" ht="27" customHeight="1" x14ac:dyDescent="0.2">
      <c r="A27" s="378" t="s">
        <v>389</v>
      </c>
      <c r="B27" s="1421" t="s">
        <v>455</v>
      </c>
      <c r="C27" s="1422"/>
      <c r="D27" s="1422"/>
      <c r="E27" s="1423"/>
      <c r="F27" s="374"/>
    </row>
    <row r="28" spans="1:6" s="373" customFormat="1" ht="27" customHeight="1" x14ac:dyDescent="0.2">
      <c r="A28" s="378" t="s">
        <v>390</v>
      </c>
      <c r="B28" s="1421" t="s">
        <v>456</v>
      </c>
      <c r="C28" s="1422"/>
      <c r="D28" s="1422"/>
      <c r="E28" s="1423"/>
      <c r="F28" s="374"/>
    </row>
    <row r="29" spans="1:6" s="373" customFormat="1" ht="27" customHeight="1" x14ac:dyDescent="0.2">
      <c r="A29" s="378" t="s">
        <v>391</v>
      </c>
      <c r="B29" s="1421" t="s">
        <v>457</v>
      </c>
      <c r="C29" s="1422"/>
      <c r="D29" s="1422"/>
      <c r="E29" s="1423"/>
      <c r="F29" s="374"/>
    </row>
    <row r="30" spans="1:6" x14ac:dyDescent="0.2">
      <c r="A30" s="158"/>
      <c r="B30" s="372"/>
      <c r="C30" s="373"/>
      <c r="D30" s="373"/>
      <c r="E30" s="374"/>
      <c r="F30" s="160"/>
    </row>
    <row r="31" spans="1:6" x14ac:dyDescent="0.2">
      <c r="A31" s="158" t="s">
        <v>26</v>
      </c>
      <c r="B31" s="372"/>
      <c r="C31" s="373"/>
      <c r="D31" s="373"/>
      <c r="E31" s="374"/>
      <c r="F31" s="160"/>
    </row>
    <row r="32" spans="1:6" x14ac:dyDescent="0.2">
      <c r="A32" s="158"/>
      <c r="B32" s="372"/>
      <c r="C32" s="373"/>
      <c r="D32" s="373"/>
      <c r="E32" s="374"/>
      <c r="F32" s="160"/>
    </row>
    <row r="33" spans="1:6" s="373" customFormat="1" ht="27" customHeight="1" x14ac:dyDescent="0.2">
      <c r="A33" s="378" t="s">
        <v>392</v>
      </c>
      <c r="B33" s="1421" t="s">
        <v>458</v>
      </c>
      <c r="C33" s="1422"/>
      <c r="D33" s="1422"/>
      <c r="E33" s="1423"/>
      <c r="F33" s="374"/>
    </row>
    <row r="34" spans="1:6" s="373" customFormat="1" ht="27" customHeight="1" x14ac:dyDescent="0.2">
      <c r="A34" s="378" t="s">
        <v>393</v>
      </c>
      <c r="B34" s="1421" t="s">
        <v>459</v>
      </c>
      <c r="C34" s="1422"/>
      <c r="D34" s="1422"/>
      <c r="E34" s="1423"/>
      <c r="F34" s="374"/>
    </row>
  </sheetData>
  <mergeCells count="18">
    <mergeCell ref="B5:E5"/>
    <mergeCell ref="B12:E12"/>
    <mergeCell ref="B13:E13"/>
    <mergeCell ref="B14:E14"/>
    <mergeCell ref="B19:E19"/>
    <mergeCell ref="B33:E33"/>
    <mergeCell ref="B34:E34"/>
    <mergeCell ref="B9:E9"/>
    <mergeCell ref="B10:E10"/>
    <mergeCell ref="B11:E11"/>
    <mergeCell ref="B15:E15"/>
    <mergeCell ref="B21:E21"/>
    <mergeCell ref="B25:E25"/>
    <mergeCell ref="B26:E26"/>
    <mergeCell ref="B27:E27"/>
    <mergeCell ref="B28:E28"/>
    <mergeCell ref="B29:E29"/>
    <mergeCell ref="B20:E20"/>
  </mergeCells>
  <pageMargins left="0.8203125" right="0.70866141732283472" top="0.74803149606299213" bottom="0.74803149606299213" header="0.31496062992125984" footer="0.31496062992125984"/>
  <pageSetup paperSize="9" scale="75" orientation="portrait" r:id="rId1"/>
  <headerFooter>
    <oddHeader>&amp;C&amp;"Arial,Negrita"&amp;18FORMATOS DEL 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AB482"/>
  <sheetViews>
    <sheetView view="pageLayout" topLeftCell="A86" zoomScale="85" zoomScaleNormal="100" zoomScaleSheetLayoutView="90" zoomScalePageLayoutView="85" workbookViewId="0">
      <selection activeCell="A94" sqref="A94:W128"/>
    </sheetView>
  </sheetViews>
  <sheetFormatPr baseColWidth="10" defaultColWidth="11.42578125" defaultRowHeight="12.75" x14ac:dyDescent="0.2"/>
  <cols>
    <col min="1" max="1" width="41.28515625" style="28" customWidth="1"/>
    <col min="2" max="7" width="7" style="28" customWidth="1"/>
    <col min="8" max="8" width="6" style="28" customWidth="1"/>
    <col min="9" max="9" width="6.140625" style="28" customWidth="1"/>
    <col min="10" max="10" width="7" style="28" customWidth="1"/>
    <col min="11" max="11" width="3.28515625" style="28" customWidth="1"/>
    <col min="12" max="12" width="14.42578125" style="28" customWidth="1"/>
    <col min="13" max="16" width="7" style="28" customWidth="1"/>
    <col min="17" max="17" width="5.5703125" style="28" customWidth="1"/>
    <col min="18" max="21" width="7" style="28" customWidth="1"/>
    <col min="22" max="22" width="5" style="28" customWidth="1"/>
    <col min="23" max="23" width="13.7109375" style="28" customWidth="1"/>
    <col min="24" max="24" width="1.7109375" style="141" customWidth="1"/>
    <col min="25" max="28" width="10.7109375" customWidth="1"/>
    <col min="29" max="16384" width="11.42578125" style="162"/>
  </cols>
  <sheetData>
    <row r="1" spans="1:28" s="167" customFormat="1" ht="15.75" x14ac:dyDescent="0.2">
      <c r="A1" s="354" t="s">
        <v>422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8"/>
    </row>
    <row r="2" spans="1:28" s="167" customFormat="1" ht="15.75" x14ac:dyDescent="0.2">
      <c r="A2" s="173" t="s">
        <v>460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8"/>
    </row>
    <row r="3" spans="1:28" s="145" customFormat="1" ht="15.75" x14ac:dyDescent="0.25">
      <c r="A3" s="355" t="s">
        <v>476</v>
      </c>
      <c r="X3" s="140"/>
    </row>
    <row r="4" spans="1:28" ht="13.5" thickBot="1" x14ac:dyDescent="0.25">
      <c r="L4" s="29"/>
      <c r="W4" s="29"/>
    </row>
    <row r="5" spans="1:28" s="98" customFormat="1" ht="26.25" customHeight="1" x14ac:dyDescent="0.2">
      <c r="A5" s="233" t="s">
        <v>10</v>
      </c>
      <c r="B5" s="1469" t="s">
        <v>420</v>
      </c>
      <c r="C5" s="1470"/>
      <c r="D5" s="1470"/>
      <c r="E5" s="1470"/>
      <c r="F5" s="1470"/>
      <c r="G5" s="1470"/>
      <c r="H5" s="1470"/>
      <c r="I5" s="1470"/>
      <c r="J5" s="1470"/>
      <c r="K5" s="1470"/>
      <c r="L5" s="1471"/>
      <c r="M5" s="1469" t="s">
        <v>421</v>
      </c>
      <c r="N5" s="1470"/>
      <c r="O5" s="1470"/>
      <c r="P5" s="1470"/>
      <c r="Q5" s="1470"/>
      <c r="R5" s="1470"/>
      <c r="S5" s="1470"/>
      <c r="T5" s="1470"/>
      <c r="U5" s="1470"/>
      <c r="V5" s="1470"/>
      <c r="W5" s="1471"/>
      <c r="X5" s="142"/>
    </row>
    <row r="6" spans="1:28" s="99" customFormat="1" ht="99.95" customHeight="1" x14ac:dyDescent="0.2">
      <c r="A6" s="234" t="s">
        <v>9</v>
      </c>
      <c r="B6" s="235" t="s">
        <v>347</v>
      </c>
      <c r="C6" s="235" t="s">
        <v>134</v>
      </c>
      <c r="D6" s="236" t="s">
        <v>301</v>
      </c>
      <c r="E6" s="236" t="s">
        <v>298</v>
      </c>
      <c r="F6" s="236" t="s">
        <v>303</v>
      </c>
      <c r="G6" s="236" t="s">
        <v>304</v>
      </c>
      <c r="H6" s="236" t="s">
        <v>305</v>
      </c>
      <c r="I6" s="236" t="s">
        <v>312</v>
      </c>
      <c r="J6" s="237" t="s">
        <v>307</v>
      </c>
      <c r="K6" s="238" t="s">
        <v>309</v>
      </c>
      <c r="L6" s="239" t="s">
        <v>311</v>
      </c>
      <c r="M6" s="235" t="s">
        <v>347</v>
      </c>
      <c r="N6" s="235" t="s">
        <v>134</v>
      </c>
      <c r="O6" s="236" t="s">
        <v>301</v>
      </c>
      <c r="P6" s="236" t="s">
        <v>298</v>
      </c>
      <c r="Q6" s="236" t="s">
        <v>303</v>
      </c>
      <c r="R6" s="236" t="s">
        <v>304</v>
      </c>
      <c r="S6" s="236" t="s">
        <v>305</v>
      </c>
      <c r="T6" s="236" t="s">
        <v>312</v>
      </c>
      <c r="U6" s="237" t="s">
        <v>307</v>
      </c>
      <c r="V6" s="238" t="s">
        <v>309</v>
      </c>
      <c r="W6" s="239" t="s">
        <v>310</v>
      </c>
      <c r="X6" s="143"/>
    </row>
    <row r="7" spans="1:28" x14ac:dyDescent="0.2">
      <c r="A7" s="33"/>
      <c r="B7" s="30"/>
      <c r="C7" s="30"/>
      <c r="D7" s="30"/>
      <c r="E7" s="30"/>
      <c r="F7" s="30"/>
      <c r="G7" s="30"/>
      <c r="H7" s="30"/>
      <c r="I7" s="30"/>
      <c r="J7" s="30"/>
      <c r="K7" s="30"/>
      <c r="L7" s="39"/>
      <c r="M7" s="30"/>
      <c r="N7" s="30"/>
      <c r="O7" s="30"/>
      <c r="P7" s="30"/>
      <c r="Q7" s="30"/>
      <c r="R7" s="30"/>
      <c r="S7" s="30"/>
      <c r="T7" s="30"/>
      <c r="U7" s="30"/>
      <c r="V7" s="30"/>
      <c r="W7" s="39"/>
      <c r="AA7" s="162"/>
      <c r="AB7" s="162"/>
    </row>
    <row r="8" spans="1:28" x14ac:dyDescent="0.2">
      <c r="A8" s="34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  <c r="X8" s="144"/>
      <c r="AA8" s="162"/>
      <c r="AB8" s="162"/>
    </row>
    <row r="9" spans="1:28" x14ac:dyDescent="0.2">
      <c r="A9" s="33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9"/>
      <c r="M9" s="30"/>
      <c r="N9" s="30"/>
      <c r="O9" s="30"/>
      <c r="P9" s="30"/>
      <c r="Q9" s="30"/>
      <c r="R9" s="30"/>
      <c r="S9" s="30"/>
      <c r="T9" s="30"/>
      <c r="U9" s="30"/>
      <c r="V9" s="30"/>
      <c r="W9" s="39"/>
      <c r="AA9" s="162"/>
      <c r="AB9" s="162"/>
    </row>
    <row r="10" spans="1:28" x14ac:dyDescent="0.2">
      <c r="A10" s="33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9"/>
      <c r="AA10" s="162"/>
      <c r="AB10" s="162"/>
    </row>
    <row r="11" spans="1:28" x14ac:dyDescent="0.2">
      <c r="A11" s="33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9"/>
      <c r="AA11" s="162"/>
      <c r="AB11" s="162"/>
    </row>
    <row r="12" spans="1:28" x14ac:dyDescent="0.2">
      <c r="A12" s="33" t="s">
        <v>12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9"/>
      <c r="AA12" s="162"/>
      <c r="AB12" s="162"/>
    </row>
    <row r="13" spans="1:28" x14ac:dyDescent="0.2">
      <c r="A13" s="33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9"/>
      <c r="AA13" s="162"/>
      <c r="AB13" s="162"/>
    </row>
    <row r="14" spans="1:28" x14ac:dyDescent="0.2">
      <c r="A14" s="33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9"/>
      <c r="AA14" s="162"/>
      <c r="AB14" s="162"/>
    </row>
    <row r="15" spans="1:28" x14ac:dyDescent="0.2">
      <c r="A15" s="13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9"/>
      <c r="AA15" s="162"/>
      <c r="AB15" s="162"/>
    </row>
    <row r="16" spans="1:28" x14ac:dyDescent="0.2">
      <c r="A16" s="34" t="s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144"/>
      <c r="AA16" s="162"/>
      <c r="AB16" s="162"/>
    </row>
    <row r="17" spans="1:28" x14ac:dyDescent="0.2">
      <c r="A17" s="33" t="s">
        <v>14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9"/>
      <c r="AA17" s="162"/>
      <c r="AB17" s="162"/>
    </row>
    <row r="18" spans="1:28" x14ac:dyDescent="0.2">
      <c r="A18" s="33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9"/>
      <c r="AA18" s="162"/>
      <c r="AB18" s="162"/>
    </row>
    <row r="19" spans="1:28" x14ac:dyDescent="0.2">
      <c r="A19" s="33" t="s">
        <v>16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9"/>
      <c r="AA19" s="162"/>
      <c r="AB19" s="162"/>
    </row>
    <row r="20" spans="1:28" x14ac:dyDescent="0.2">
      <c r="A20" s="3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9"/>
      <c r="AA20" s="162"/>
      <c r="AB20" s="162"/>
    </row>
    <row r="21" spans="1:28" x14ac:dyDescent="0.2">
      <c r="A21" s="34" t="s">
        <v>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144"/>
      <c r="AA21" s="162"/>
      <c r="AB21" s="162"/>
    </row>
    <row r="22" spans="1:28" x14ac:dyDescent="0.2">
      <c r="A22" s="33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9"/>
      <c r="AA22" s="162"/>
      <c r="AB22" s="162"/>
    </row>
    <row r="23" spans="1:28" x14ac:dyDescent="0.2">
      <c r="A23" s="33" t="s">
        <v>12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9"/>
      <c r="AA23" s="162"/>
      <c r="AB23" s="162"/>
    </row>
    <row r="24" spans="1:28" x14ac:dyDescent="0.2">
      <c r="A24" s="33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9"/>
      <c r="AA24" s="162"/>
      <c r="AB24" s="162"/>
    </row>
    <row r="25" spans="1:28" x14ac:dyDescent="0.2">
      <c r="A25" s="33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9"/>
      <c r="AA25" s="162"/>
      <c r="AB25" s="162"/>
    </row>
    <row r="26" spans="1:28" x14ac:dyDescent="0.2">
      <c r="A26" s="34" t="s">
        <v>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144"/>
      <c r="AA26" s="162"/>
      <c r="AB26" s="162"/>
    </row>
    <row r="27" spans="1:28" x14ac:dyDescent="0.2">
      <c r="A27" s="33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9"/>
      <c r="AA27" s="162"/>
      <c r="AB27" s="162"/>
    </row>
    <row r="28" spans="1:28" x14ac:dyDescent="0.2">
      <c r="A28" s="33" t="s">
        <v>12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9"/>
      <c r="AA28" s="162"/>
      <c r="AB28" s="162"/>
    </row>
    <row r="29" spans="1:28" x14ac:dyDescent="0.2">
      <c r="A29" s="33" t="s">
        <v>20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9"/>
      <c r="AA29" s="162"/>
      <c r="AB29" s="162"/>
    </row>
    <row r="30" spans="1:28" ht="13.5" thickBot="1" x14ac:dyDescent="0.25">
      <c r="A30" s="33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9"/>
      <c r="AA30" s="162"/>
      <c r="AB30" s="162"/>
    </row>
    <row r="31" spans="1:28" ht="13.5" thickBot="1" x14ac:dyDescent="0.25">
      <c r="A31" s="41" t="s">
        <v>25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  <c r="X31" s="144"/>
      <c r="AA31" s="162"/>
      <c r="AB31" s="162"/>
    </row>
    <row r="32" spans="1:28" x14ac:dyDescent="0.2">
      <c r="A32" s="1" t="s">
        <v>308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7"/>
      <c r="Q32" s="141"/>
      <c r="R32"/>
      <c r="S3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x14ac:dyDescent="0.2">
      <c r="A33" s="28" t="s">
        <v>302</v>
      </c>
      <c r="P33" s="162"/>
      <c r="Q33" s="141"/>
      <c r="R33"/>
      <c r="S33"/>
      <c r="T33"/>
      <c r="U33"/>
      <c r="V33" s="162"/>
      <c r="W33" s="162"/>
      <c r="X33" s="162"/>
      <c r="Y33" s="162"/>
      <c r="Z33" s="162"/>
      <c r="AA33" s="162"/>
      <c r="AB33" s="162"/>
    </row>
    <row r="34" spans="1:28" x14ac:dyDescent="0.2">
      <c r="A34" s="28" t="s">
        <v>306</v>
      </c>
      <c r="P34" s="162"/>
      <c r="Q34" s="141"/>
      <c r="R34"/>
      <c r="S34"/>
      <c r="T34"/>
      <c r="U34"/>
      <c r="V34" s="162"/>
      <c r="W34" s="162"/>
      <c r="X34" s="162"/>
      <c r="Y34" s="162"/>
      <c r="Z34" s="162"/>
      <c r="AA34" s="162"/>
      <c r="AB34" s="162"/>
    </row>
    <row r="35" spans="1:28" x14ac:dyDescent="0.2">
      <c r="A35" s="28" t="s">
        <v>313</v>
      </c>
    </row>
    <row r="57" spans="1:23" ht="15.75" x14ac:dyDescent="0.2">
      <c r="A57" s="354" t="s">
        <v>422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</row>
    <row r="58" spans="1:23" ht="15.75" x14ac:dyDescent="0.2">
      <c r="A58" s="173" t="s">
        <v>460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</row>
    <row r="59" spans="1:23" ht="15.75" x14ac:dyDescent="0.25">
      <c r="A59" s="355" t="s">
        <v>476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ht="13.5" thickBot="1" x14ac:dyDescent="0.25">
      <c r="L60" s="29"/>
      <c r="W60" s="29"/>
    </row>
    <row r="61" spans="1:23" x14ac:dyDescent="0.2">
      <c r="A61" s="233" t="s">
        <v>10</v>
      </c>
      <c r="B61" s="1469" t="s">
        <v>420</v>
      </c>
      <c r="C61" s="1470"/>
      <c r="D61" s="1470"/>
      <c r="E61" s="1470"/>
      <c r="F61" s="1470"/>
      <c r="G61" s="1470"/>
      <c r="H61" s="1470"/>
      <c r="I61" s="1470"/>
      <c r="J61" s="1470"/>
      <c r="K61" s="1470"/>
      <c r="L61" s="1471"/>
      <c r="M61" s="1469" t="s">
        <v>421</v>
      </c>
      <c r="N61" s="1470"/>
      <c r="O61" s="1470"/>
      <c r="P61" s="1470"/>
      <c r="Q61" s="1470"/>
      <c r="R61" s="1470"/>
      <c r="S61" s="1470"/>
      <c r="T61" s="1470"/>
      <c r="U61" s="1470"/>
      <c r="V61" s="1470"/>
      <c r="W61" s="1471"/>
    </row>
    <row r="62" spans="1:23" ht="135" x14ac:dyDescent="0.2">
      <c r="A62" s="234" t="s">
        <v>9</v>
      </c>
      <c r="B62" s="235" t="s">
        <v>347</v>
      </c>
      <c r="C62" s="235" t="s">
        <v>134</v>
      </c>
      <c r="D62" s="236" t="s">
        <v>301</v>
      </c>
      <c r="E62" s="236" t="s">
        <v>298</v>
      </c>
      <c r="F62" s="236" t="s">
        <v>303</v>
      </c>
      <c r="G62" s="236" t="s">
        <v>304</v>
      </c>
      <c r="H62" s="236" t="s">
        <v>305</v>
      </c>
      <c r="I62" s="236" t="s">
        <v>312</v>
      </c>
      <c r="J62" s="237" t="s">
        <v>307</v>
      </c>
      <c r="K62" s="238" t="s">
        <v>309</v>
      </c>
      <c r="L62" s="239" t="s">
        <v>311</v>
      </c>
      <c r="M62" s="235" t="s">
        <v>347</v>
      </c>
      <c r="N62" s="235" t="s">
        <v>134</v>
      </c>
      <c r="O62" s="236" t="s">
        <v>301</v>
      </c>
      <c r="P62" s="236" t="s">
        <v>298</v>
      </c>
      <c r="Q62" s="236" t="s">
        <v>303</v>
      </c>
      <c r="R62" s="236" t="s">
        <v>304</v>
      </c>
      <c r="S62" s="236" t="s">
        <v>305</v>
      </c>
      <c r="T62" s="236" t="s">
        <v>312</v>
      </c>
      <c r="U62" s="237" t="s">
        <v>307</v>
      </c>
      <c r="V62" s="238" t="s">
        <v>309</v>
      </c>
      <c r="W62" s="239" t="s">
        <v>310</v>
      </c>
    </row>
    <row r="63" spans="1:23" x14ac:dyDescent="0.2">
      <c r="A63" s="33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9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9"/>
    </row>
    <row r="64" spans="1:23" x14ac:dyDescent="0.2">
      <c r="A64" s="34" t="s">
        <v>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</row>
    <row r="65" spans="1:23" x14ac:dyDescent="0.2">
      <c r="A65" s="33" t="s">
        <v>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9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9"/>
    </row>
    <row r="66" spans="1:23" x14ac:dyDescent="0.2">
      <c r="A66" s="33" t="s">
        <v>12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9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9"/>
    </row>
    <row r="67" spans="1:23" x14ac:dyDescent="0.2">
      <c r="A67" s="33" t="s">
        <v>12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9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9"/>
    </row>
    <row r="68" spans="1:23" x14ac:dyDescent="0.2">
      <c r="A68" s="33" t="s">
        <v>12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9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9"/>
    </row>
    <row r="69" spans="1:23" x14ac:dyDescent="0.2">
      <c r="A69" s="33" t="s">
        <v>12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9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9"/>
    </row>
    <row r="70" spans="1:23" x14ac:dyDescent="0.2">
      <c r="A70" s="33" t="s">
        <v>13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9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9"/>
    </row>
    <row r="71" spans="1:23" x14ac:dyDescent="0.2">
      <c r="A71" s="135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9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9"/>
    </row>
    <row r="72" spans="1:23" x14ac:dyDescent="0.2">
      <c r="A72" s="34" t="s">
        <v>4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</row>
    <row r="73" spans="1:23" x14ac:dyDescent="0.2">
      <c r="A73" s="33" t="s">
        <v>14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9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9"/>
    </row>
    <row r="74" spans="1:23" x14ac:dyDescent="0.2">
      <c r="A74" s="33" t="s">
        <v>15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9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9"/>
    </row>
    <row r="75" spans="1:23" x14ac:dyDescent="0.2">
      <c r="A75" s="33" t="s">
        <v>16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9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9"/>
    </row>
    <row r="76" spans="1:23" x14ac:dyDescent="0.2">
      <c r="A76" s="33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9"/>
    </row>
    <row r="77" spans="1:23" x14ac:dyDescent="0.2">
      <c r="A77" s="34" t="s">
        <v>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</row>
    <row r="78" spans="1:23" x14ac:dyDescent="0.2">
      <c r="A78" s="33" t="s">
        <v>17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9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9"/>
    </row>
    <row r="79" spans="1:23" x14ac:dyDescent="0.2">
      <c r="A79" s="33" t="s">
        <v>12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9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9"/>
    </row>
    <row r="80" spans="1:23" x14ac:dyDescent="0.2">
      <c r="A80" s="33" t="s">
        <v>18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9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9"/>
    </row>
    <row r="81" spans="1:23" x14ac:dyDescent="0.2">
      <c r="A81" s="33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9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9"/>
    </row>
    <row r="82" spans="1:23" x14ac:dyDescent="0.2">
      <c r="A82" s="34" t="s">
        <v>6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</row>
    <row r="83" spans="1:23" x14ac:dyDescent="0.2">
      <c r="A83" s="33" t="s">
        <v>19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9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9"/>
    </row>
    <row r="84" spans="1:23" x14ac:dyDescent="0.2">
      <c r="A84" s="33" t="s">
        <v>12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9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9"/>
    </row>
    <row r="85" spans="1:23" x14ac:dyDescent="0.2">
      <c r="A85" s="33" t="s">
        <v>20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9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9"/>
    </row>
    <row r="86" spans="1:23" ht="13.5" thickBot="1" x14ac:dyDescent="0.25">
      <c r="A86" s="33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9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9"/>
    </row>
    <row r="87" spans="1:23" ht="13.5" thickBot="1" x14ac:dyDescent="0.25">
      <c r="A87" s="41" t="s">
        <v>25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4"/>
    </row>
    <row r="88" spans="1:23" x14ac:dyDescent="0.2">
      <c r="A88" s="1" t="s">
        <v>308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7"/>
      <c r="Q88" s="141"/>
      <c r="R88"/>
      <c r="S88"/>
      <c r="T88" s="162"/>
      <c r="U88" s="162"/>
      <c r="V88" s="162"/>
      <c r="W88" s="162"/>
    </row>
    <row r="89" spans="1:23" x14ac:dyDescent="0.2">
      <c r="A89" s="28" t="s">
        <v>302</v>
      </c>
      <c r="P89" s="162"/>
      <c r="Q89" s="141"/>
      <c r="R89"/>
      <c r="S89"/>
      <c r="T89"/>
      <c r="U89"/>
      <c r="V89" s="162"/>
      <c r="W89" s="162"/>
    </row>
    <row r="90" spans="1:23" x14ac:dyDescent="0.2">
      <c r="A90" s="28" t="s">
        <v>306</v>
      </c>
      <c r="P90" s="162"/>
      <c r="Q90" s="141"/>
      <c r="R90"/>
      <c r="S90"/>
      <c r="T90"/>
      <c r="U90"/>
      <c r="V90" s="162"/>
      <c r="W90" s="162"/>
    </row>
    <row r="91" spans="1:23" x14ac:dyDescent="0.2">
      <c r="A91" s="28" t="s">
        <v>313</v>
      </c>
    </row>
    <row r="94" spans="1:23" ht="15.75" x14ac:dyDescent="0.2">
      <c r="A94" s="561" t="s">
        <v>422</v>
      </c>
      <c r="B94" s="562"/>
      <c r="C94" s="562"/>
      <c r="D94" s="562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</row>
    <row r="95" spans="1:23" ht="15.75" x14ac:dyDescent="0.2">
      <c r="A95" s="561" t="s">
        <v>4261</v>
      </c>
      <c r="B95" s="562"/>
      <c r="C95" s="562"/>
      <c r="D95" s="562"/>
      <c r="E95" s="562"/>
      <c r="F95" s="562"/>
      <c r="G95" s="562"/>
      <c r="H95" s="562"/>
      <c r="I95" s="562"/>
      <c r="J95" s="562"/>
      <c r="K95" s="562"/>
      <c r="L95" s="562"/>
      <c r="M95" s="562"/>
      <c r="N95" s="562"/>
      <c r="O95" s="562"/>
      <c r="P95" s="562"/>
      <c r="Q95" s="562"/>
      <c r="R95" s="562"/>
      <c r="S95" s="562"/>
      <c r="T95" s="562"/>
      <c r="U95" s="562"/>
      <c r="V95" s="562"/>
      <c r="W95" s="562"/>
    </row>
    <row r="96" spans="1:23" ht="15.75" x14ac:dyDescent="0.25">
      <c r="A96" s="561" t="s">
        <v>4262</v>
      </c>
      <c r="B96" s="1267"/>
      <c r="C96" s="1267"/>
      <c r="D96" s="1267"/>
      <c r="E96" s="1267"/>
      <c r="F96" s="1267"/>
      <c r="G96" s="1267"/>
      <c r="H96" s="1267"/>
      <c r="I96" s="1267"/>
      <c r="J96" s="1267"/>
      <c r="K96" s="1267"/>
      <c r="L96" s="1267"/>
      <c r="M96" s="1267"/>
      <c r="N96" s="1267"/>
      <c r="O96" s="1267"/>
      <c r="P96" s="1267"/>
      <c r="Q96" s="1267"/>
      <c r="R96" s="1267"/>
      <c r="S96" s="1267"/>
      <c r="T96" s="1267"/>
      <c r="U96" s="1267"/>
      <c r="V96" s="1267"/>
      <c r="W96" s="1267"/>
    </row>
    <row r="97" spans="1:23" ht="13.5" thickBot="1" x14ac:dyDescent="0.25">
      <c r="L97" s="563"/>
      <c r="W97" s="563"/>
    </row>
    <row r="98" spans="1:23" x14ac:dyDescent="0.2">
      <c r="A98" s="233" t="s">
        <v>10</v>
      </c>
      <c r="B98" s="1469" t="s">
        <v>420</v>
      </c>
      <c r="C98" s="1470"/>
      <c r="D98" s="1470"/>
      <c r="E98" s="1470"/>
      <c r="F98" s="1470"/>
      <c r="G98" s="1470"/>
      <c r="H98" s="1470"/>
      <c r="I98" s="1470"/>
      <c r="J98" s="1470"/>
      <c r="K98" s="1470"/>
      <c r="L98" s="1471"/>
      <c r="M98" s="1469" t="s">
        <v>421</v>
      </c>
      <c r="N98" s="1470"/>
      <c r="O98" s="1470"/>
      <c r="P98" s="1470"/>
      <c r="Q98" s="1470"/>
      <c r="R98" s="1470"/>
      <c r="S98" s="1470"/>
      <c r="T98" s="1470"/>
      <c r="U98" s="1470"/>
      <c r="V98" s="1470"/>
      <c r="W98" s="1471"/>
    </row>
    <row r="99" spans="1:23" ht="135" customHeight="1" x14ac:dyDescent="0.2">
      <c r="A99" s="234" t="s">
        <v>9</v>
      </c>
      <c r="B99" s="235" t="s">
        <v>347</v>
      </c>
      <c r="C99" s="235" t="s">
        <v>134</v>
      </c>
      <c r="D99" s="236" t="s">
        <v>301</v>
      </c>
      <c r="E99" s="236" t="s">
        <v>298</v>
      </c>
      <c r="F99" s="236" t="s">
        <v>303</v>
      </c>
      <c r="G99" s="236" t="s">
        <v>304</v>
      </c>
      <c r="H99" s="236" t="s">
        <v>305</v>
      </c>
      <c r="I99" s="236" t="s">
        <v>312</v>
      </c>
      <c r="J99" s="237" t="s">
        <v>307</v>
      </c>
      <c r="K99" s="238" t="s">
        <v>309</v>
      </c>
      <c r="L99" s="239" t="s">
        <v>311</v>
      </c>
      <c r="M99" s="235" t="s">
        <v>347</v>
      </c>
      <c r="N99" s="235" t="s">
        <v>134</v>
      </c>
      <c r="O99" s="236" t="s">
        <v>301</v>
      </c>
      <c r="P99" s="236" t="s">
        <v>298</v>
      </c>
      <c r="Q99" s="236" t="s">
        <v>303</v>
      </c>
      <c r="R99" s="236" t="s">
        <v>304</v>
      </c>
      <c r="S99" s="236" t="s">
        <v>305</v>
      </c>
      <c r="T99" s="236" t="s">
        <v>312</v>
      </c>
      <c r="U99" s="237" t="s">
        <v>307</v>
      </c>
      <c r="V99" s="238" t="s">
        <v>309</v>
      </c>
      <c r="W99" s="239" t="s">
        <v>310</v>
      </c>
    </row>
    <row r="100" spans="1:23" x14ac:dyDescent="0.2">
      <c r="A100" s="33"/>
      <c r="L100" s="39"/>
      <c r="W100" s="39"/>
    </row>
    <row r="101" spans="1:23" x14ac:dyDescent="0.2">
      <c r="A101" s="564" t="s">
        <v>7</v>
      </c>
      <c r="B101" s="565"/>
      <c r="C101" s="565"/>
      <c r="D101" s="565"/>
      <c r="E101" s="565"/>
      <c r="F101" s="565"/>
      <c r="G101" s="565"/>
      <c r="H101" s="565"/>
      <c r="I101" s="565"/>
      <c r="J101" s="565"/>
      <c r="K101" s="565"/>
      <c r="L101" s="1268"/>
      <c r="M101" s="565"/>
      <c r="N101" s="565"/>
      <c r="O101" s="565"/>
      <c r="P101" s="565"/>
      <c r="Q101" s="565"/>
      <c r="R101" s="565"/>
      <c r="S101" s="565"/>
      <c r="T101" s="565"/>
      <c r="U101" s="565"/>
      <c r="V101" s="565"/>
      <c r="W101" s="1268"/>
    </row>
    <row r="102" spans="1:23" x14ac:dyDescent="0.2">
      <c r="A102" s="33" t="s">
        <v>3</v>
      </c>
      <c r="L102" s="1269"/>
      <c r="W102" s="1269"/>
    </row>
    <row r="103" spans="1:23" x14ac:dyDescent="0.2">
      <c r="A103" s="33" t="s">
        <v>12</v>
      </c>
      <c r="L103" s="1269"/>
      <c r="W103" s="1269"/>
    </row>
    <row r="104" spans="1:23" x14ac:dyDescent="0.2">
      <c r="A104" s="33" t="s">
        <v>12</v>
      </c>
      <c r="L104" s="1269"/>
      <c r="W104" s="1269"/>
    </row>
    <row r="105" spans="1:23" x14ac:dyDescent="0.2">
      <c r="A105" s="33" t="s">
        <v>12</v>
      </c>
      <c r="L105" s="1269"/>
      <c r="W105" s="1269"/>
    </row>
    <row r="106" spans="1:23" x14ac:dyDescent="0.2">
      <c r="A106" s="33" t="s">
        <v>12</v>
      </c>
      <c r="L106" s="1269"/>
      <c r="W106" s="1269"/>
    </row>
    <row r="107" spans="1:23" x14ac:dyDescent="0.2">
      <c r="A107" s="33" t="s">
        <v>13</v>
      </c>
      <c r="L107" s="1269"/>
      <c r="W107" s="1269"/>
    </row>
    <row r="108" spans="1:23" x14ac:dyDescent="0.2">
      <c r="A108" s="135"/>
      <c r="L108" s="1269"/>
      <c r="W108" s="1269"/>
    </row>
    <row r="109" spans="1:23" x14ac:dyDescent="0.2">
      <c r="A109" s="34" t="s">
        <v>4</v>
      </c>
      <c r="B109" s="565">
        <f>SUM(B110:B113)</f>
        <v>3</v>
      </c>
      <c r="C109" s="565"/>
      <c r="D109" s="565"/>
      <c r="E109" s="565"/>
      <c r="F109" s="565"/>
      <c r="G109" s="565"/>
      <c r="H109" s="565"/>
      <c r="I109" s="565"/>
      <c r="J109" s="565"/>
      <c r="K109" s="565">
        <f>SUM(K110:K113)</f>
        <v>3</v>
      </c>
      <c r="L109" s="1270">
        <f>SUM(L110:L113)</f>
        <v>80867</v>
      </c>
      <c r="M109" s="565">
        <f>SUM(M110:M113)</f>
        <v>3</v>
      </c>
      <c r="N109" s="565"/>
      <c r="O109" s="565"/>
      <c r="P109" s="565"/>
      <c r="Q109" s="565"/>
      <c r="R109" s="565"/>
      <c r="S109" s="565"/>
      <c r="T109" s="565"/>
      <c r="U109" s="565"/>
      <c r="V109" s="565">
        <f>SUM(V110:V113)</f>
        <v>3</v>
      </c>
      <c r="W109" s="1270">
        <f>SUM(W110:W113)</f>
        <v>80867</v>
      </c>
    </row>
    <row r="110" spans="1:23" x14ac:dyDescent="0.2">
      <c r="A110" s="33" t="s">
        <v>14</v>
      </c>
      <c r="L110" s="1269"/>
      <c r="W110" s="1269"/>
    </row>
    <row r="111" spans="1:23" x14ac:dyDescent="0.2">
      <c r="A111" s="33" t="s">
        <v>15</v>
      </c>
      <c r="L111" s="1269"/>
      <c r="W111" s="1269"/>
    </row>
    <row r="112" spans="1:23" x14ac:dyDescent="0.2">
      <c r="A112" s="33" t="s">
        <v>16</v>
      </c>
      <c r="B112" s="28">
        <v>3</v>
      </c>
      <c r="K112" s="28">
        <v>3</v>
      </c>
      <c r="L112" s="1269">
        <v>80867</v>
      </c>
      <c r="M112" s="28">
        <v>3</v>
      </c>
      <c r="V112" s="28">
        <v>3</v>
      </c>
      <c r="W112" s="1269">
        <v>80867</v>
      </c>
    </row>
    <row r="113" spans="1:23" x14ac:dyDescent="0.2">
      <c r="A113" s="33"/>
      <c r="L113" s="1269"/>
      <c r="W113" s="1269"/>
    </row>
    <row r="114" spans="1:23" x14ac:dyDescent="0.2">
      <c r="A114" s="34" t="s">
        <v>5</v>
      </c>
      <c r="B114" s="565">
        <f>SUM(B115:B118)</f>
        <v>57</v>
      </c>
      <c r="C114" s="565"/>
      <c r="D114" s="565"/>
      <c r="E114" s="565"/>
      <c r="F114" s="565"/>
      <c r="G114" s="565"/>
      <c r="H114" s="565"/>
      <c r="I114" s="565"/>
      <c r="J114" s="565"/>
      <c r="K114" s="565">
        <f>SUM(K115:K118)</f>
        <v>57</v>
      </c>
      <c r="L114" s="1270">
        <f>SUM(L115:L118)</f>
        <v>1450892</v>
      </c>
      <c r="M114" s="565">
        <f>SUM(M115:M118)</f>
        <v>57</v>
      </c>
      <c r="N114" s="565"/>
      <c r="O114" s="565"/>
      <c r="P114" s="565"/>
      <c r="Q114" s="565"/>
      <c r="R114" s="565"/>
      <c r="S114" s="565"/>
      <c r="T114" s="565"/>
      <c r="U114" s="565"/>
      <c r="V114" s="565">
        <f>SUM(V115:V118)</f>
        <v>57</v>
      </c>
      <c r="W114" s="1270">
        <f>SUM(W115:W118)</f>
        <v>1450892</v>
      </c>
    </row>
    <row r="115" spans="1:23" x14ac:dyDescent="0.2">
      <c r="A115" s="33" t="s">
        <v>17</v>
      </c>
      <c r="B115" s="28">
        <v>51</v>
      </c>
      <c r="K115" s="28">
        <v>51</v>
      </c>
      <c r="L115" s="1269">
        <v>1299737</v>
      </c>
      <c r="M115" s="28">
        <v>51</v>
      </c>
      <c r="V115" s="28">
        <v>51</v>
      </c>
      <c r="W115" s="1269">
        <v>1299737</v>
      </c>
    </row>
    <row r="116" spans="1:23" x14ac:dyDescent="0.2">
      <c r="A116" s="33" t="s">
        <v>12</v>
      </c>
      <c r="L116" s="1269"/>
      <c r="W116" s="1269"/>
    </row>
    <row r="117" spans="1:23" x14ac:dyDescent="0.2">
      <c r="A117" s="33" t="s">
        <v>18</v>
      </c>
      <c r="B117" s="28">
        <v>6</v>
      </c>
      <c r="K117" s="28">
        <v>6</v>
      </c>
      <c r="L117" s="1269">
        <v>151155</v>
      </c>
      <c r="M117" s="28">
        <v>6</v>
      </c>
      <c r="V117" s="28">
        <v>6</v>
      </c>
      <c r="W117" s="1269">
        <v>151155</v>
      </c>
    </row>
    <row r="118" spans="1:23" x14ac:dyDescent="0.2">
      <c r="A118" s="33"/>
      <c r="L118" s="1269"/>
      <c r="W118" s="1269"/>
    </row>
    <row r="119" spans="1:23" x14ac:dyDescent="0.2">
      <c r="A119" s="34" t="s">
        <v>6</v>
      </c>
      <c r="B119" s="565">
        <f>SUM(B120:B123)</f>
        <v>36</v>
      </c>
      <c r="C119" s="565"/>
      <c r="D119" s="565"/>
      <c r="E119" s="565"/>
      <c r="F119" s="565"/>
      <c r="G119" s="565"/>
      <c r="H119" s="565"/>
      <c r="I119" s="565"/>
      <c r="J119" s="565"/>
      <c r="K119" s="565">
        <f>SUM(K120:K122)</f>
        <v>36</v>
      </c>
      <c r="L119" s="1270">
        <f>SUM(L120:L123)</f>
        <v>921403</v>
      </c>
      <c r="M119" s="565">
        <f>SUM(M120:M123)</f>
        <v>36</v>
      </c>
      <c r="N119" s="565"/>
      <c r="O119" s="565"/>
      <c r="P119" s="565"/>
      <c r="Q119" s="565"/>
      <c r="R119" s="565"/>
      <c r="S119" s="565"/>
      <c r="T119" s="565"/>
      <c r="U119" s="565"/>
      <c r="V119" s="565">
        <f>SUM(V120:V122)</f>
        <v>36</v>
      </c>
      <c r="W119" s="1270">
        <f>SUM(W120:W123)</f>
        <v>941459</v>
      </c>
    </row>
    <row r="120" spans="1:23" x14ac:dyDescent="0.2">
      <c r="A120" s="33" t="s">
        <v>19</v>
      </c>
      <c r="B120" s="28">
        <v>17</v>
      </c>
      <c r="K120" s="28">
        <v>17</v>
      </c>
      <c r="L120" s="1269">
        <v>424268</v>
      </c>
      <c r="M120" s="28">
        <v>17</v>
      </c>
      <c r="V120" s="28">
        <v>17</v>
      </c>
      <c r="W120" s="1269">
        <v>424268</v>
      </c>
    </row>
    <row r="121" spans="1:23" x14ac:dyDescent="0.2">
      <c r="A121" s="33" t="s">
        <v>1441</v>
      </c>
      <c r="B121" s="28">
        <v>1</v>
      </c>
      <c r="K121" s="28">
        <v>1</v>
      </c>
      <c r="L121" s="1269">
        <v>24763</v>
      </c>
      <c r="M121" s="28">
        <v>1</v>
      </c>
      <c r="V121" s="28">
        <v>1</v>
      </c>
      <c r="W121" s="1269">
        <v>24763</v>
      </c>
    </row>
    <row r="122" spans="1:23" x14ac:dyDescent="0.2">
      <c r="A122" s="33" t="s">
        <v>20</v>
      </c>
      <c r="B122" s="28">
        <v>18</v>
      </c>
      <c r="K122" s="28">
        <v>18</v>
      </c>
      <c r="L122" s="1269">
        <v>442232</v>
      </c>
      <c r="M122" s="28">
        <v>18</v>
      </c>
      <c r="V122" s="28">
        <v>18</v>
      </c>
      <c r="W122" s="1269">
        <v>442232</v>
      </c>
    </row>
    <row r="123" spans="1:23" ht="13.5" thickBot="1" x14ac:dyDescent="0.25">
      <c r="A123" s="1271" t="s">
        <v>4263</v>
      </c>
      <c r="B123" s="1272"/>
      <c r="C123" s="1272"/>
      <c r="D123" s="1272">
        <v>1</v>
      </c>
      <c r="E123" s="1272"/>
      <c r="F123" s="1272"/>
      <c r="G123" s="1272"/>
      <c r="H123" s="1272"/>
      <c r="I123" s="1272"/>
      <c r="J123" s="1272"/>
      <c r="K123" s="1272">
        <v>1</v>
      </c>
      <c r="L123" s="1273">
        <v>30140</v>
      </c>
      <c r="M123" s="1272"/>
      <c r="N123" s="1272"/>
      <c r="O123" s="1272">
        <v>3</v>
      </c>
      <c r="P123" s="1272"/>
      <c r="Q123" s="1272"/>
      <c r="R123" s="1272"/>
      <c r="S123" s="1272"/>
      <c r="T123" s="1272"/>
      <c r="U123" s="1272"/>
      <c r="V123" s="1272">
        <v>3</v>
      </c>
      <c r="W123" s="1273">
        <v>50196</v>
      </c>
    </row>
    <row r="124" spans="1:23" ht="13.5" thickBot="1" x14ac:dyDescent="0.25">
      <c r="A124" s="41" t="s">
        <v>25</v>
      </c>
      <c r="B124" s="43">
        <f>B109+B114+B119</f>
        <v>96</v>
      </c>
      <c r="C124" s="43"/>
      <c r="D124" s="43">
        <f>D123</f>
        <v>1</v>
      </c>
      <c r="E124" s="43"/>
      <c r="F124" s="43"/>
      <c r="G124" s="43"/>
      <c r="H124" s="43"/>
      <c r="I124" s="43"/>
      <c r="J124" s="43"/>
      <c r="K124" s="43">
        <f>K109+K114+K119+K123</f>
        <v>97</v>
      </c>
      <c r="L124" s="1274">
        <f>L109+L114+L119</f>
        <v>2453162</v>
      </c>
      <c r="M124" s="43">
        <f>M109+M114+M119</f>
        <v>96</v>
      </c>
      <c r="N124" s="43"/>
      <c r="O124" s="43">
        <f>O123</f>
        <v>3</v>
      </c>
      <c r="P124" s="43"/>
      <c r="Q124" s="43"/>
      <c r="R124" s="43"/>
      <c r="S124" s="43"/>
      <c r="T124" s="43"/>
      <c r="U124" s="43"/>
      <c r="V124" s="43">
        <f>V109+V114+V119+V123</f>
        <v>99</v>
      </c>
      <c r="W124" s="1274">
        <f>W109+W114+W119</f>
        <v>2473218</v>
      </c>
    </row>
    <row r="125" spans="1:23" ht="15" x14ac:dyDescent="0.25">
      <c r="A125" s="574" t="s">
        <v>308</v>
      </c>
      <c r="B125" s="490"/>
      <c r="C125" s="490"/>
      <c r="D125" s="490"/>
      <c r="E125" s="490"/>
      <c r="F125" s="490"/>
      <c r="G125" s="490"/>
      <c r="H125" s="490"/>
      <c r="I125" s="490"/>
      <c r="J125" s="490"/>
      <c r="K125" s="490"/>
      <c r="L125" s="490"/>
      <c r="M125" s="490"/>
      <c r="N125" s="490"/>
      <c r="O125" s="490"/>
      <c r="P125" s="1275"/>
      <c r="Q125" s="1276"/>
      <c r="R125" s="1277"/>
      <c r="S125" s="1277"/>
      <c r="T125" s="1275"/>
      <c r="U125" s="1275"/>
      <c r="V125" s="1275"/>
      <c r="W125" s="1275"/>
    </row>
    <row r="126" spans="1:23" ht="15" x14ac:dyDescent="0.25">
      <c r="A126" s="28" t="s">
        <v>302</v>
      </c>
      <c r="P126" s="1275"/>
      <c r="Q126" s="1276"/>
      <c r="R126" s="1277"/>
      <c r="S126" s="1277"/>
      <c r="T126" s="1277"/>
      <c r="U126" s="1277"/>
      <c r="V126" s="1275"/>
      <c r="W126" s="1275"/>
    </row>
    <row r="127" spans="1:23" ht="15" x14ac:dyDescent="0.25">
      <c r="A127" s="28" t="s">
        <v>306</v>
      </c>
      <c r="P127" s="1275"/>
      <c r="Q127" s="1276"/>
      <c r="R127" s="1277"/>
      <c r="S127" s="1277"/>
      <c r="T127" s="1277"/>
      <c r="U127" s="1277"/>
      <c r="V127" s="1275"/>
      <c r="W127" s="1275"/>
    </row>
    <row r="128" spans="1:23" x14ac:dyDescent="0.2">
      <c r="A128" s="28" t="s">
        <v>313</v>
      </c>
    </row>
    <row r="135" spans="1:23" ht="15.75" x14ac:dyDescent="0.2">
      <c r="A135" s="354" t="s">
        <v>422</v>
      </c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</row>
    <row r="136" spans="1:23" ht="15.75" x14ac:dyDescent="0.2">
      <c r="A136" s="173" t="s">
        <v>460</v>
      </c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</row>
    <row r="137" spans="1:23" ht="15.75" x14ac:dyDescent="0.25">
      <c r="A137" s="355" t="s">
        <v>476</v>
      </c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1:23" ht="13.5" thickBot="1" x14ac:dyDescent="0.25">
      <c r="L138" s="29"/>
      <c r="W138" s="29"/>
    </row>
    <row r="139" spans="1:23" x14ac:dyDescent="0.2">
      <c r="A139" s="233" t="s">
        <v>10</v>
      </c>
      <c r="B139" s="1469" t="s">
        <v>420</v>
      </c>
      <c r="C139" s="1470"/>
      <c r="D139" s="1470"/>
      <c r="E139" s="1470"/>
      <c r="F139" s="1470"/>
      <c r="G139" s="1470"/>
      <c r="H139" s="1470"/>
      <c r="I139" s="1470"/>
      <c r="J139" s="1470"/>
      <c r="K139" s="1470"/>
      <c r="L139" s="1471"/>
      <c r="M139" s="1469" t="s">
        <v>421</v>
      </c>
      <c r="N139" s="1470"/>
      <c r="O139" s="1470"/>
      <c r="P139" s="1470"/>
      <c r="Q139" s="1470"/>
      <c r="R139" s="1470"/>
      <c r="S139" s="1470"/>
      <c r="T139" s="1470"/>
      <c r="U139" s="1470"/>
      <c r="V139" s="1470"/>
      <c r="W139" s="1471"/>
    </row>
    <row r="140" spans="1:23" ht="134.25" x14ac:dyDescent="0.2">
      <c r="A140" s="234" t="s">
        <v>9</v>
      </c>
      <c r="B140" s="235" t="s">
        <v>347</v>
      </c>
      <c r="C140" s="235" t="s">
        <v>134</v>
      </c>
      <c r="D140" s="236" t="s">
        <v>301</v>
      </c>
      <c r="E140" s="236" t="s">
        <v>298</v>
      </c>
      <c r="F140" s="236" t="s">
        <v>303</v>
      </c>
      <c r="G140" s="236" t="s">
        <v>304</v>
      </c>
      <c r="H140" s="236" t="s">
        <v>305</v>
      </c>
      <c r="I140" s="236" t="s">
        <v>312</v>
      </c>
      <c r="J140" s="237" t="s">
        <v>307</v>
      </c>
      <c r="K140" s="238" t="s">
        <v>309</v>
      </c>
      <c r="L140" s="239" t="s">
        <v>311</v>
      </c>
      <c r="M140" s="235" t="s">
        <v>347</v>
      </c>
      <c r="N140" s="235" t="s">
        <v>134</v>
      </c>
      <c r="O140" s="236" t="s">
        <v>301</v>
      </c>
      <c r="P140" s="236" t="s">
        <v>298</v>
      </c>
      <c r="Q140" s="236" t="s">
        <v>303</v>
      </c>
      <c r="R140" s="236" t="s">
        <v>304</v>
      </c>
      <c r="S140" s="236" t="s">
        <v>305</v>
      </c>
      <c r="T140" s="236" t="s">
        <v>312</v>
      </c>
      <c r="U140" s="237" t="s">
        <v>307</v>
      </c>
      <c r="V140" s="238" t="s">
        <v>309</v>
      </c>
      <c r="W140" s="239" t="s">
        <v>310</v>
      </c>
    </row>
    <row r="141" spans="1:23" x14ac:dyDescent="0.2">
      <c r="A141" s="33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9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9"/>
    </row>
    <row r="142" spans="1:23" x14ac:dyDescent="0.2">
      <c r="A142" s="34" t="s">
        <v>7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6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6"/>
    </row>
    <row r="143" spans="1:23" x14ac:dyDescent="0.2">
      <c r="A143" s="33" t="s">
        <v>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9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9"/>
    </row>
    <row r="144" spans="1:23" x14ac:dyDescent="0.2">
      <c r="A144" s="33" t="s">
        <v>12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9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9"/>
    </row>
    <row r="145" spans="1:23" x14ac:dyDescent="0.2">
      <c r="A145" s="33" t="s">
        <v>12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9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9"/>
    </row>
    <row r="146" spans="1:23" x14ac:dyDescent="0.2">
      <c r="A146" s="33" t="s">
        <v>12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9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9"/>
    </row>
    <row r="147" spans="1:23" x14ac:dyDescent="0.2">
      <c r="A147" s="33" t="s">
        <v>12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9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9"/>
    </row>
    <row r="148" spans="1:23" x14ac:dyDescent="0.2">
      <c r="A148" s="33" t="s">
        <v>13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9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9"/>
    </row>
    <row r="149" spans="1:23" x14ac:dyDescent="0.2">
      <c r="A149" s="135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9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9"/>
    </row>
    <row r="150" spans="1:23" x14ac:dyDescent="0.2">
      <c r="A150" s="34" t="s">
        <v>4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6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6"/>
    </row>
    <row r="151" spans="1:23" x14ac:dyDescent="0.2">
      <c r="A151" s="33" t="s">
        <v>14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9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9"/>
    </row>
    <row r="152" spans="1:23" x14ac:dyDescent="0.2">
      <c r="A152" s="33" t="s">
        <v>15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9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9"/>
    </row>
    <row r="153" spans="1:23" x14ac:dyDescent="0.2">
      <c r="A153" s="33" t="s">
        <v>16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9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9"/>
    </row>
    <row r="154" spans="1:23" x14ac:dyDescent="0.2">
      <c r="A154" s="3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9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9"/>
    </row>
    <row r="155" spans="1:23" x14ac:dyDescent="0.2">
      <c r="A155" s="34" t="s">
        <v>5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6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6"/>
    </row>
    <row r="156" spans="1:23" x14ac:dyDescent="0.2">
      <c r="A156" s="33" t="s">
        <v>17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9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9"/>
    </row>
    <row r="157" spans="1:23" x14ac:dyDescent="0.2">
      <c r="A157" s="33" t="s">
        <v>12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9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9"/>
    </row>
    <row r="158" spans="1:23" x14ac:dyDescent="0.2">
      <c r="A158" s="33" t="s">
        <v>18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9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9"/>
    </row>
    <row r="159" spans="1:23" x14ac:dyDescent="0.2">
      <c r="A159" s="3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9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9"/>
    </row>
    <row r="160" spans="1:23" x14ac:dyDescent="0.2">
      <c r="A160" s="34" t="s">
        <v>6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6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6"/>
    </row>
    <row r="161" spans="1:23" x14ac:dyDescent="0.2">
      <c r="A161" s="33" t="s">
        <v>19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9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9"/>
    </row>
    <row r="162" spans="1:23" x14ac:dyDescent="0.2">
      <c r="A162" s="33" t="s">
        <v>12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9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9"/>
    </row>
    <row r="163" spans="1:23" x14ac:dyDescent="0.2">
      <c r="A163" s="33" t="s">
        <v>20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9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9"/>
    </row>
    <row r="164" spans="1:23" ht="13.5" thickBot="1" x14ac:dyDescent="0.25">
      <c r="A164" s="33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9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9"/>
    </row>
    <row r="165" spans="1:23" ht="13.5" thickBot="1" x14ac:dyDescent="0.25">
      <c r="A165" s="41" t="s">
        <v>25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4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4"/>
    </row>
    <row r="166" spans="1:23" x14ac:dyDescent="0.2">
      <c r="A166" s="1" t="s">
        <v>308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7"/>
      <c r="Q166" s="141"/>
      <c r="R166"/>
      <c r="S166"/>
      <c r="T166" s="162"/>
      <c r="U166" s="162"/>
      <c r="V166" s="162"/>
      <c r="W166" s="162"/>
    </row>
    <row r="167" spans="1:23" x14ac:dyDescent="0.2">
      <c r="A167" s="28" t="s">
        <v>302</v>
      </c>
      <c r="P167" s="162"/>
      <c r="Q167" s="141"/>
      <c r="R167"/>
      <c r="S167"/>
      <c r="T167"/>
      <c r="U167"/>
      <c r="V167" s="162"/>
      <c r="W167" s="162"/>
    </row>
    <row r="168" spans="1:23" x14ac:dyDescent="0.2">
      <c r="A168" s="28" t="s">
        <v>306</v>
      </c>
      <c r="P168" s="162"/>
      <c r="Q168" s="141"/>
      <c r="R168"/>
      <c r="S168"/>
      <c r="T168"/>
      <c r="U168"/>
      <c r="V168" s="162"/>
      <c r="W168" s="162"/>
    </row>
    <row r="169" spans="1:23" x14ac:dyDescent="0.2">
      <c r="A169" s="28" t="s">
        <v>313</v>
      </c>
    </row>
    <row r="176" spans="1:23" ht="15.75" x14ac:dyDescent="0.2">
      <c r="A176" s="561" t="s">
        <v>422</v>
      </c>
      <c r="B176" s="562"/>
      <c r="C176" s="562"/>
      <c r="D176" s="562"/>
      <c r="E176" s="562"/>
      <c r="F176" s="562"/>
      <c r="G176" s="562"/>
      <c r="H176" s="562"/>
      <c r="I176" s="562"/>
      <c r="J176" s="562"/>
      <c r="K176" s="562"/>
      <c r="L176" s="562"/>
      <c r="M176" s="562"/>
      <c r="N176" s="562"/>
      <c r="O176" s="562"/>
      <c r="P176" s="562"/>
      <c r="Q176" s="562"/>
      <c r="R176" s="562"/>
      <c r="S176" s="562"/>
      <c r="T176" s="562"/>
      <c r="U176" s="562"/>
      <c r="V176" s="562"/>
      <c r="W176" s="562"/>
    </row>
    <row r="177" spans="1:23" ht="15.75" x14ac:dyDescent="0.2">
      <c r="A177" s="173" t="s">
        <v>460</v>
      </c>
      <c r="B177" s="562"/>
      <c r="C177" s="562"/>
      <c r="D177" s="562"/>
      <c r="E177" s="562"/>
      <c r="F177" s="562"/>
      <c r="G177" s="562"/>
      <c r="H177" s="562"/>
      <c r="I177" s="562"/>
      <c r="J177" s="562"/>
      <c r="K177" s="562"/>
      <c r="L177" s="562"/>
      <c r="M177" s="562"/>
      <c r="N177" s="562"/>
      <c r="O177" s="562"/>
      <c r="P177" s="562"/>
      <c r="Q177" s="562"/>
      <c r="R177" s="562"/>
      <c r="S177" s="562"/>
      <c r="T177" s="562"/>
      <c r="U177" s="562"/>
      <c r="V177" s="562"/>
      <c r="W177" s="562"/>
    </row>
    <row r="178" spans="1:23" ht="15.75" x14ac:dyDescent="0.25">
      <c r="A178" s="355" t="s">
        <v>1446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1:23" ht="13.5" thickBot="1" x14ac:dyDescent="0.25">
      <c r="L179" s="563"/>
      <c r="W179" s="563"/>
    </row>
    <row r="180" spans="1:23" x14ac:dyDescent="0.2">
      <c r="A180" s="233" t="s">
        <v>10</v>
      </c>
      <c r="B180" s="1469" t="s">
        <v>420</v>
      </c>
      <c r="C180" s="1470"/>
      <c r="D180" s="1470"/>
      <c r="E180" s="1470"/>
      <c r="F180" s="1470"/>
      <c r="G180" s="1470"/>
      <c r="H180" s="1470"/>
      <c r="I180" s="1470"/>
      <c r="J180" s="1470"/>
      <c r="K180" s="1470"/>
      <c r="L180" s="1471"/>
      <c r="M180" s="1469" t="s">
        <v>421</v>
      </c>
      <c r="N180" s="1470"/>
      <c r="O180" s="1470"/>
      <c r="P180" s="1470"/>
      <c r="Q180" s="1470"/>
      <c r="R180" s="1470"/>
      <c r="S180" s="1470"/>
      <c r="T180" s="1470"/>
      <c r="U180" s="1470"/>
      <c r="V180" s="1470"/>
      <c r="W180" s="1471"/>
    </row>
    <row r="181" spans="1:23" ht="134.25" x14ac:dyDescent="0.2">
      <c r="A181" s="234" t="s">
        <v>9</v>
      </c>
      <c r="B181" s="235" t="s">
        <v>347</v>
      </c>
      <c r="C181" s="235" t="s">
        <v>134</v>
      </c>
      <c r="D181" s="236" t="s">
        <v>301</v>
      </c>
      <c r="E181" s="236" t="s">
        <v>298</v>
      </c>
      <c r="F181" s="236" t="s">
        <v>303</v>
      </c>
      <c r="G181" s="236" t="s">
        <v>304</v>
      </c>
      <c r="H181" s="236" t="s">
        <v>305</v>
      </c>
      <c r="I181" s="236" t="s">
        <v>312</v>
      </c>
      <c r="J181" s="237" t="s">
        <v>307</v>
      </c>
      <c r="K181" s="238" t="s">
        <v>309</v>
      </c>
      <c r="L181" s="239" t="s">
        <v>311</v>
      </c>
      <c r="M181" s="235" t="s">
        <v>347</v>
      </c>
      <c r="N181" s="235" t="s">
        <v>134</v>
      </c>
      <c r="O181" s="236" t="s">
        <v>301</v>
      </c>
      <c r="P181" s="236" t="s">
        <v>298</v>
      </c>
      <c r="Q181" s="236" t="s">
        <v>303</v>
      </c>
      <c r="R181" s="236" t="s">
        <v>304</v>
      </c>
      <c r="S181" s="236" t="s">
        <v>305</v>
      </c>
      <c r="T181" s="236" t="s">
        <v>312</v>
      </c>
      <c r="U181" s="237" t="s">
        <v>307</v>
      </c>
      <c r="V181" s="238" t="s">
        <v>309</v>
      </c>
      <c r="W181" s="239" t="s">
        <v>310</v>
      </c>
    </row>
    <row r="182" spans="1:23" x14ac:dyDescent="0.2">
      <c r="A182" s="33"/>
      <c r="L182" s="39"/>
      <c r="W182" s="39"/>
    </row>
    <row r="183" spans="1:23" x14ac:dyDescent="0.2">
      <c r="A183" s="564" t="s">
        <v>7</v>
      </c>
      <c r="B183" s="575">
        <f>SUM(B187:B191)</f>
        <v>37</v>
      </c>
      <c r="C183" s="575"/>
      <c r="D183" s="575"/>
      <c r="E183" s="575"/>
      <c r="F183" s="575"/>
      <c r="G183" s="575"/>
      <c r="H183" s="575"/>
      <c r="I183" s="575"/>
      <c r="J183" s="575"/>
      <c r="K183" s="575"/>
      <c r="L183" s="575">
        <f>SUM(L185:L191)</f>
        <v>2691840</v>
      </c>
      <c r="M183" s="575">
        <f>SUM(M185:M191)</f>
        <v>36</v>
      </c>
      <c r="N183" s="575"/>
      <c r="O183" s="575"/>
      <c r="P183" s="575"/>
      <c r="Q183" s="575"/>
      <c r="R183" s="575"/>
      <c r="S183" s="575"/>
      <c r="T183" s="575"/>
      <c r="U183" s="575"/>
      <c r="V183" s="575"/>
      <c r="W183" s="575">
        <f>SUM(W185:W191)</f>
        <v>2568274</v>
      </c>
    </row>
    <row r="184" spans="1:23" x14ac:dyDescent="0.2">
      <c r="A184" s="566" t="s">
        <v>3</v>
      </c>
      <c r="B184" s="576"/>
      <c r="C184" s="576"/>
      <c r="D184" s="576"/>
      <c r="E184" s="576"/>
      <c r="F184" s="576"/>
      <c r="G184" s="576"/>
      <c r="H184" s="576"/>
      <c r="I184" s="576"/>
      <c r="J184" s="576"/>
      <c r="K184" s="576"/>
      <c r="L184" s="576"/>
      <c r="M184" s="576"/>
      <c r="N184" s="576"/>
      <c r="O184" s="576"/>
      <c r="P184" s="576"/>
      <c r="Q184" s="576"/>
      <c r="R184" s="576"/>
      <c r="S184" s="576"/>
      <c r="T184" s="576"/>
      <c r="U184" s="576"/>
      <c r="V184" s="576"/>
      <c r="W184" s="576"/>
    </row>
    <row r="185" spans="1:23" x14ac:dyDescent="0.2">
      <c r="A185" s="566" t="s">
        <v>1397</v>
      </c>
      <c r="B185" s="576"/>
      <c r="C185" s="576"/>
      <c r="D185" s="576"/>
      <c r="E185" s="576"/>
      <c r="F185" s="576"/>
      <c r="G185" s="576"/>
      <c r="H185" s="576"/>
      <c r="I185" s="576"/>
      <c r="J185" s="576"/>
      <c r="K185" s="576"/>
      <c r="L185" s="576"/>
      <c r="M185" s="576"/>
      <c r="N185" s="576"/>
      <c r="O185" s="576"/>
      <c r="P185" s="576"/>
      <c r="Q185" s="576"/>
      <c r="R185" s="576"/>
      <c r="S185" s="576"/>
      <c r="T185" s="576"/>
      <c r="U185" s="576"/>
      <c r="V185" s="576"/>
      <c r="W185" s="576"/>
    </row>
    <row r="186" spans="1:23" x14ac:dyDescent="0.2">
      <c r="A186" s="566" t="s">
        <v>1398</v>
      </c>
      <c r="B186" s="576"/>
      <c r="C186" s="576"/>
      <c r="D186" s="576"/>
      <c r="E186" s="576"/>
      <c r="F186" s="576"/>
      <c r="G186" s="576"/>
      <c r="H186" s="576"/>
      <c r="I186" s="576"/>
      <c r="J186" s="576"/>
      <c r="K186" s="576"/>
      <c r="L186" s="577"/>
      <c r="M186" s="576"/>
      <c r="N186" s="576"/>
      <c r="O186" s="576"/>
      <c r="P186" s="576"/>
      <c r="Q186" s="576"/>
      <c r="R186" s="576"/>
      <c r="S186" s="576"/>
      <c r="T186" s="576"/>
      <c r="U186" s="576"/>
      <c r="V186" s="576"/>
      <c r="W186" s="576"/>
    </row>
    <row r="187" spans="1:23" x14ac:dyDescent="0.2">
      <c r="A187" s="566" t="s">
        <v>1399</v>
      </c>
      <c r="B187" s="576">
        <v>1</v>
      </c>
      <c r="C187" s="576"/>
      <c r="D187" s="576"/>
      <c r="E187" s="576"/>
      <c r="F187" s="576"/>
      <c r="G187" s="576"/>
      <c r="H187" s="576"/>
      <c r="I187" s="576"/>
      <c r="J187" s="576"/>
      <c r="K187" s="576"/>
      <c r="L187" s="577">
        <v>111488</v>
      </c>
      <c r="M187" s="576">
        <v>1</v>
      </c>
      <c r="N187" s="576"/>
      <c r="O187" s="576"/>
      <c r="P187" s="576"/>
      <c r="Q187" s="576"/>
      <c r="R187" s="576"/>
      <c r="S187" s="576"/>
      <c r="T187" s="576"/>
      <c r="U187" s="576"/>
      <c r="V187" s="576"/>
      <c r="W187" s="577">
        <v>111488</v>
      </c>
    </row>
    <row r="188" spans="1:23" x14ac:dyDescent="0.2">
      <c r="A188" s="566" t="s">
        <v>1400</v>
      </c>
      <c r="B188" s="576">
        <v>15</v>
      </c>
      <c r="C188" s="576"/>
      <c r="D188" s="576"/>
      <c r="E188" s="576"/>
      <c r="F188" s="576"/>
      <c r="G188" s="576"/>
      <c r="H188" s="576"/>
      <c r="I188" s="576"/>
      <c r="J188" s="576"/>
      <c r="K188" s="576"/>
      <c r="L188" s="577">
        <v>1327440</v>
      </c>
      <c r="M188" s="576">
        <v>14</v>
      </c>
      <c r="N188" s="576"/>
      <c r="O188" s="576"/>
      <c r="P188" s="576"/>
      <c r="Q188" s="576"/>
      <c r="R188" s="576"/>
      <c r="S188" s="576"/>
      <c r="T188" s="576"/>
      <c r="U188" s="576"/>
      <c r="V188" s="576"/>
      <c r="W188" s="577">
        <v>1215512</v>
      </c>
    </row>
    <row r="189" spans="1:23" x14ac:dyDescent="0.2">
      <c r="A189" s="566" t="s">
        <v>1401</v>
      </c>
      <c r="B189" s="576">
        <v>18</v>
      </c>
      <c r="C189" s="576"/>
      <c r="D189" s="576"/>
      <c r="E189" s="576"/>
      <c r="F189" s="576"/>
      <c r="G189" s="576"/>
      <c r="H189" s="576"/>
      <c r="I189" s="576"/>
      <c r="J189" s="576"/>
      <c r="K189" s="576"/>
      <c r="L189" s="577">
        <v>1133976</v>
      </c>
      <c r="M189" s="576">
        <v>18</v>
      </c>
      <c r="N189" s="576"/>
      <c r="O189" s="576"/>
      <c r="P189" s="576"/>
      <c r="Q189" s="576"/>
      <c r="R189" s="576"/>
      <c r="S189" s="576"/>
      <c r="T189" s="576"/>
      <c r="U189" s="576"/>
      <c r="V189" s="576"/>
      <c r="W189" s="577">
        <v>1133976</v>
      </c>
    </row>
    <row r="190" spans="1:23" x14ac:dyDescent="0.2">
      <c r="A190" s="566" t="s">
        <v>1402</v>
      </c>
      <c r="B190" s="576">
        <v>2</v>
      </c>
      <c r="C190" s="576"/>
      <c r="D190" s="576"/>
      <c r="E190" s="576"/>
      <c r="F190" s="576"/>
      <c r="G190" s="576"/>
      <c r="H190" s="576"/>
      <c r="I190" s="576"/>
      <c r="J190" s="576"/>
      <c r="K190" s="576"/>
      <c r="L190" s="577">
        <v>87144</v>
      </c>
      <c r="M190" s="576">
        <v>2</v>
      </c>
      <c r="N190" s="576"/>
      <c r="O190" s="576"/>
      <c r="P190" s="576"/>
      <c r="Q190" s="576"/>
      <c r="R190" s="576"/>
      <c r="S190" s="576"/>
      <c r="T190" s="576"/>
      <c r="U190" s="576"/>
      <c r="V190" s="576"/>
      <c r="W190" s="577">
        <v>75895</v>
      </c>
    </row>
    <row r="191" spans="1:23" x14ac:dyDescent="0.2">
      <c r="A191" s="566" t="s">
        <v>13</v>
      </c>
      <c r="B191" s="576">
        <v>1</v>
      </c>
      <c r="C191" s="576"/>
      <c r="D191" s="576"/>
      <c r="E191" s="576"/>
      <c r="F191" s="576"/>
      <c r="G191" s="576"/>
      <c r="H191" s="576"/>
      <c r="I191" s="576"/>
      <c r="J191" s="576"/>
      <c r="K191" s="576"/>
      <c r="L191" s="577">
        <v>31792</v>
      </c>
      <c r="M191" s="576">
        <v>1</v>
      </c>
      <c r="N191" s="576"/>
      <c r="O191" s="576"/>
      <c r="P191" s="576"/>
      <c r="Q191" s="576"/>
      <c r="R191" s="576"/>
      <c r="S191" s="576"/>
      <c r="T191" s="576"/>
      <c r="U191" s="576"/>
      <c r="V191" s="576"/>
      <c r="W191" s="577">
        <v>31403</v>
      </c>
    </row>
    <row r="192" spans="1:23" x14ac:dyDescent="0.2">
      <c r="A192" s="569" t="s">
        <v>4</v>
      </c>
      <c r="B192" s="578">
        <f>SUM(B193:B227)</f>
        <v>732</v>
      </c>
      <c r="C192" s="578"/>
      <c r="D192" s="578"/>
      <c r="E192" s="578"/>
      <c r="F192" s="578"/>
      <c r="G192" s="578"/>
      <c r="H192" s="578"/>
      <c r="I192" s="578"/>
      <c r="J192" s="578"/>
      <c r="K192" s="578"/>
      <c r="L192" s="578">
        <f>SUM(L193:L227)</f>
        <v>52330011</v>
      </c>
      <c r="M192" s="578">
        <f>SUM(M193:M227)</f>
        <v>757</v>
      </c>
      <c r="N192" s="578"/>
      <c r="O192" s="578"/>
      <c r="P192" s="578"/>
      <c r="Q192" s="578"/>
      <c r="R192" s="578"/>
      <c r="S192" s="578"/>
      <c r="T192" s="578"/>
      <c r="U192" s="578"/>
      <c r="V192" s="578"/>
      <c r="W192" s="578">
        <f>SUM(W193:W227)</f>
        <v>51578961</v>
      </c>
    </row>
    <row r="193" spans="1:23" ht="14.25" x14ac:dyDescent="0.2">
      <c r="A193" s="571" t="s">
        <v>14</v>
      </c>
      <c r="B193" s="576"/>
      <c r="C193" s="576"/>
      <c r="D193" s="576"/>
      <c r="E193" s="576"/>
      <c r="F193" s="576"/>
      <c r="G193" s="576"/>
      <c r="H193" s="576"/>
      <c r="I193" s="576"/>
      <c r="J193" s="576"/>
      <c r="K193" s="576"/>
      <c r="L193" s="576"/>
      <c r="M193" s="576"/>
      <c r="N193" s="576"/>
      <c r="O193" s="576"/>
      <c r="P193" s="576"/>
      <c r="Q193" s="576"/>
      <c r="R193" s="576"/>
      <c r="S193" s="576"/>
      <c r="T193" s="576"/>
      <c r="U193" s="576"/>
      <c r="V193" s="576"/>
      <c r="W193" s="576"/>
    </row>
    <row r="194" spans="1:23" ht="14.25" x14ac:dyDescent="0.2">
      <c r="A194" s="571" t="s">
        <v>1403</v>
      </c>
      <c r="B194" s="576"/>
      <c r="C194" s="576"/>
      <c r="D194" s="576"/>
      <c r="E194" s="576"/>
      <c r="F194" s="576"/>
      <c r="G194" s="576"/>
      <c r="H194" s="576"/>
      <c r="I194" s="576"/>
      <c r="J194" s="576"/>
      <c r="K194" s="576"/>
      <c r="L194" s="576"/>
      <c r="M194" s="576"/>
      <c r="N194" s="576"/>
      <c r="O194" s="576"/>
      <c r="P194" s="576"/>
      <c r="Q194" s="576"/>
      <c r="R194" s="576"/>
      <c r="S194" s="576"/>
      <c r="T194" s="576"/>
      <c r="U194" s="576"/>
      <c r="V194" s="576"/>
      <c r="W194" s="576"/>
    </row>
    <row r="195" spans="1:23" ht="14.25" x14ac:dyDescent="0.2">
      <c r="A195" s="571" t="s">
        <v>1404</v>
      </c>
      <c r="B195" s="576">
        <v>1</v>
      </c>
      <c r="C195" s="576"/>
      <c r="D195" s="576"/>
      <c r="E195" s="576"/>
      <c r="F195" s="576"/>
      <c r="G195" s="576"/>
      <c r="H195" s="576"/>
      <c r="I195" s="576"/>
      <c r="J195" s="576"/>
      <c r="K195" s="576"/>
      <c r="L195" s="577">
        <v>46168</v>
      </c>
      <c r="M195" s="576">
        <v>1</v>
      </c>
      <c r="N195" s="576"/>
      <c r="O195" s="576"/>
      <c r="P195" s="576"/>
      <c r="Q195" s="576"/>
      <c r="R195" s="576"/>
      <c r="S195" s="576"/>
      <c r="T195" s="576"/>
      <c r="U195" s="576"/>
      <c r="V195" s="576"/>
      <c r="W195" s="577">
        <v>46168</v>
      </c>
    </row>
    <row r="196" spans="1:23" ht="14.25" x14ac:dyDescent="0.2">
      <c r="A196" s="571" t="s">
        <v>1405</v>
      </c>
      <c r="B196" s="576">
        <v>24</v>
      </c>
      <c r="C196" s="576"/>
      <c r="D196" s="576"/>
      <c r="E196" s="576"/>
      <c r="F196" s="576"/>
      <c r="G196" s="576"/>
      <c r="H196" s="576"/>
      <c r="I196" s="576"/>
      <c r="J196" s="576"/>
      <c r="K196" s="576"/>
      <c r="L196" s="577">
        <f>753262+45198</f>
        <v>798460</v>
      </c>
      <c r="M196" s="576">
        <v>23</v>
      </c>
      <c r="N196" s="576"/>
      <c r="O196" s="576"/>
      <c r="P196" s="576"/>
      <c r="Q196" s="576"/>
      <c r="R196" s="576"/>
      <c r="S196" s="576"/>
      <c r="T196" s="576"/>
      <c r="U196" s="576"/>
      <c r="V196" s="576"/>
      <c r="W196" s="577">
        <v>736299</v>
      </c>
    </row>
    <row r="197" spans="1:23" ht="14.25" x14ac:dyDescent="0.2">
      <c r="A197" s="571" t="s">
        <v>16</v>
      </c>
      <c r="B197" s="576">
        <v>7</v>
      </c>
      <c r="C197" s="576"/>
      <c r="D197" s="576"/>
      <c r="E197" s="576"/>
      <c r="F197" s="576"/>
      <c r="G197" s="576"/>
      <c r="H197" s="576"/>
      <c r="I197" s="576"/>
      <c r="J197" s="576"/>
      <c r="K197" s="576"/>
      <c r="L197" s="577">
        <v>228187</v>
      </c>
      <c r="M197" s="576">
        <v>7</v>
      </c>
      <c r="N197" s="576"/>
      <c r="O197" s="576"/>
      <c r="P197" s="576"/>
      <c r="Q197" s="576"/>
      <c r="R197" s="576"/>
      <c r="S197" s="576"/>
      <c r="T197" s="576"/>
      <c r="U197" s="576"/>
      <c r="V197" s="576"/>
      <c r="W197" s="577">
        <v>228187</v>
      </c>
    </row>
    <row r="198" spans="1:23" ht="14.25" x14ac:dyDescent="0.2">
      <c r="A198" s="571" t="s">
        <v>1406</v>
      </c>
      <c r="B198" s="576">
        <v>21</v>
      </c>
      <c r="C198" s="576"/>
      <c r="D198" s="576"/>
      <c r="E198" s="576"/>
      <c r="F198" s="576"/>
      <c r="G198" s="576"/>
      <c r="H198" s="576"/>
      <c r="I198" s="576"/>
      <c r="J198" s="576"/>
      <c r="K198" s="576"/>
      <c r="L198" s="577">
        <v>640018</v>
      </c>
      <c r="M198" s="576">
        <v>21</v>
      </c>
      <c r="N198" s="576"/>
      <c r="O198" s="576"/>
      <c r="P198" s="576"/>
      <c r="Q198" s="576"/>
      <c r="R198" s="576"/>
      <c r="S198" s="576"/>
      <c r="T198" s="576"/>
      <c r="U198" s="576"/>
      <c r="V198" s="576"/>
      <c r="W198" s="577">
        <v>640018</v>
      </c>
    </row>
    <row r="199" spans="1:23" ht="14.25" x14ac:dyDescent="0.2">
      <c r="A199" s="572" t="s">
        <v>1407</v>
      </c>
      <c r="B199" s="576">
        <v>11</v>
      </c>
      <c r="C199" s="576"/>
      <c r="D199" s="576"/>
      <c r="E199" s="576"/>
      <c r="F199" s="576"/>
      <c r="G199" s="576"/>
      <c r="H199" s="576"/>
      <c r="I199" s="576"/>
      <c r="J199" s="576"/>
      <c r="K199" s="576"/>
      <c r="L199" s="577">
        <v>788219</v>
      </c>
      <c r="M199" s="576">
        <v>12</v>
      </c>
      <c r="N199" s="576"/>
      <c r="O199" s="576"/>
      <c r="P199" s="576"/>
      <c r="Q199" s="576"/>
      <c r="R199" s="576"/>
      <c r="S199" s="576"/>
      <c r="T199" s="576"/>
      <c r="U199" s="576"/>
      <c r="V199" s="576"/>
      <c r="W199" s="577">
        <v>788219</v>
      </c>
    </row>
    <row r="200" spans="1:23" ht="14.25" x14ac:dyDescent="0.2">
      <c r="A200" s="572" t="s">
        <v>1408</v>
      </c>
      <c r="B200" s="576">
        <v>1</v>
      </c>
      <c r="C200" s="576"/>
      <c r="D200" s="576"/>
      <c r="E200" s="576"/>
      <c r="F200" s="576"/>
      <c r="G200" s="576"/>
      <c r="H200" s="576"/>
      <c r="I200" s="576"/>
      <c r="J200" s="576"/>
      <c r="K200" s="576"/>
      <c r="L200" s="577">
        <v>62779</v>
      </c>
      <c r="M200" s="576">
        <v>1</v>
      </c>
      <c r="N200" s="576"/>
      <c r="O200" s="576"/>
      <c r="P200" s="576"/>
      <c r="Q200" s="576"/>
      <c r="R200" s="576"/>
      <c r="S200" s="576"/>
      <c r="T200" s="576"/>
      <c r="U200" s="576"/>
      <c r="V200" s="576"/>
      <c r="W200" s="577">
        <v>62779</v>
      </c>
    </row>
    <row r="201" spans="1:23" ht="14.25" x14ac:dyDescent="0.2">
      <c r="A201" s="572" t="s">
        <v>1409</v>
      </c>
      <c r="B201" s="576">
        <v>4</v>
      </c>
      <c r="C201" s="576"/>
      <c r="D201" s="576"/>
      <c r="E201" s="576"/>
      <c r="F201" s="576"/>
      <c r="G201" s="576"/>
      <c r="H201" s="576"/>
      <c r="I201" s="576"/>
      <c r="J201" s="576"/>
      <c r="K201" s="576"/>
      <c r="L201" s="577">
        <v>247924</v>
      </c>
      <c r="M201" s="576">
        <v>4</v>
      </c>
      <c r="N201" s="576"/>
      <c r="O201" s="576"/>
      <c r="P201" s="576"/>
      <c r="Q201" s="576"/>
      <c r="R201" s="576"/>
      <c r="S201" s="576"/>
      <c r="T201" s="576"/>
      <c r="U201" s="576"/>
      <c r="V201" s="576"/>
      <c r="W201" s="577">
        <v>247924</v>
      </c>
    </row>
    <row r="202" spans="1:23" ht="14.25" x14ac:dyDescent="0.2">
      <c r="A202" s="572" t="s">
        <v>1410</v>
      </c>
      <c r="B202" s="576">
        <v>12</v>
      </c>
      <c r="C202" s="576"/>
      <c r="D202" s="576"/>
      <c r="E202" s="576"/>
      <c r="F202" s="576"/>
      <c r="G202" s="576"/>
      <c r="H202" s="576"/>
      <c r="I202" s="576"/>
      <c r="J202" s="576"/>
      <c r="K202" s="576"/>
      <c r="L202" s="577">
        <f>736026+19126</f>
        <v>755152</v>
      </c>
      <c r="M202" s="576">
        <v>14</v>
      </c>
      <c r="N202" s="576"/>
      <c r="O202" s="576"/>
      <c r="P202" s="576"/>
      <c r="Q202" s="576"/>
      <c r="R202" s="576"/>
      <c r="S202" s="576"/>
      <c r="T202" s="576"/>
      <c r="U202" s="576"/>
      <c r="V202" s="576"/>
      <c r="W202" s="577">
        <f>736026+19126</f>
        <v>755152</v>
      </c>
    </row>
    <row r="203" spans="1:23" ht="14.25" x14ac:dyDescent="0.2">
      <c r="A203" s="572" t="s">
        <v>1411</v>
      </c>
      <c r="B203" s="576">
        <v>93</v>
      </c>
      <c r="C203" s="576"/>
      <c r="D203" s="576"/>
      <c r="E203" s="576"/>
      <c r="F203" s="576"/>
      <c r="G203" s="576"/>
      <c r="H203" s="576"/>
      <c r="I203" s="576"/>
      <c r="J203" s="576"/>
      <c r="K203" s="576"/>
      <c r="L203" s="577">
        <v>5409249</v>
      </c>
      <c r="M203" s="576">
        <v>96</v>
      </c>
      <c r="N203" s="576"/>
      <c r="O203" s="576"/>
      <c r="P203" s="576"/>
      <c r="Q203" s="576"/>
      <c r="R203" s="576"/>
      <c r="S203" s="576"/>
      <c r="T203" s="576"/>
      <c r="U203" s="576"/>
      <c r="V203" s="576"/>
      <c r="W203" s="577">
        <f>5049585+210000+149664</f>
        <v>5409249</v>
      </c>
    </row>
    <row r="204" spans="1:23" ht="14.25" x14ac:dyDescent="0.2">
      <c r="A204" s="572" t="s">
        <v>1412</v>
      </c>
      <c r="B204" s="576">
        <v>21</v>
      </c>
      <c r="C204" s="576"/>
      <c r="D204" s="576"/>
      <c r="E204" s="576"/>
      <c r="F204" s="576"/>
      <c r="G204" s="576"/>
      <c r="H204" s="576"/>
      <c r="I204" s="576"/>
      <c r="J204" s="576"/>
      <c r="K204" s="576"/>
      <c r="L204" s="577">
        <v>1461169</v>
      </c>
      <c r="M204" s="576">
        <v>21</v>
      </c>
      <c r="N204" s="576"/>
      <c r="O204" s="576"/>
      <c r="P204" s="576"/>
      <c r="Q204" s="576"/>
      <c r="R204" s="576"/>
      <c r="S204" s="576"/>
      <c r="T204" s="576"/>
      <c r="U204" s="576"/>
      <c r="V204" s="576"/>
      <c r="W204" s="577">
        <v>1461169</v>
      </c>
    </row>
    <row r="205" spans="1:23" ht="14.25" x14ac:dyDescent="0.2">
      <c r="A205" s="572" t="s">
        <v>1413</v>
      </c>
      <c r="B205" s="576">
        <v>3</v>
      </c>
      <c r="C205" s="576"/>
      <c r="D205" s="576"/>
      <c r="E205" s="576"/>
      <c r="F205" s="576"/>
      <c r="G205" s="576"/>
      <c r="H205" s="576"/>
      <c r="I205" s="576"/>
      <c r="J205" s="576"/>
      <c r="K205" s="576"/>
      <c r="L205" s="577">
        <v>207002</v>
      </c>
      <c r="M205" s="576">
        <v>3</v>
      </c>
      <c r="N205" s="576"/>
      <c r="O205" s="576"/>
      <c r="P205" s="576"/>
      <c r="Q205" s="576"/>
      <c r="R205" s="576"/>
      <c r="S205" s="576"/>
      <c r="T205" s="576"/>
      <c r="U205" s="576"/>
      <c r="V205" s="576"/>
      <c r="W205" s="577">
        <v>207002</v>
      </c>
    </row>
    <row r="206" spans="1:23" ht="14.25" x14ac:dyDescent="0.2">
      <c r="A206" s="572" t="s">
        <v>1414</v>
      </c>
      <c r="B206" s="576">
        <v>5</v>
      </c>
      <c r="C206" s="576"/>
      <c r="D206" s="576"/>
      <c r="E206" s="576"/>
      <c r="F206" s="576"/>
      <c r="G206" s="576"/>
      <c r="H206" s="576"/>
      <c r="I206" s="576"/>
      <c r="J206" s="576"/>
      <c r="K206" s="576"/>
      <c r="L206" s="577">
        <v>216957</v>
      </c>
      <c r="M206" s="576">
        <v>5</v>
      </c>
      <c r="N206" s="576"/>
      <c r="O206" s="576"/>
      <c r="P206" s="576"/>
      <c r="Q206" s="576"/>
      <c r="R206" s="576"/>
      <c r="S206" s="576"/>
      <c r="T206" s="576"/>
      <c r="U206" s="576"/>
      <c r="V206" s="576"/>
      <c r="W206" s="577">
        <v>216957</v>
      </c>
    </row>
    <row r="207" spans="1:23" ht="14.25" x14ac:dyDescent="0.2">
      <c r="A207" s="572" t="s">
        <v>1415</v>
      </c>
      <c r="B207" s="576">
        <v>95</v>
      </c>
      <c r="C207" s="576"/>
      <c r="D207" s="576"/>
      <c r="E207" s="576"/>
      <c r="F207" s="576"/>
      <c r="G207" s="576"/>
      <c r="H207" s="576"/>
      <c r="I207" s="576"/>
      <c r="J207" s="576"/>
      <c r="K207" s="576"/>
      <c r="L207" s="577">
        <v>5316321</v>
      </c>
      <c r="M207" s="576">
        <v>101</v>
      </c>
      <c r="N207" s="576"/>
      <c r="O207" s="576"/>
      <c r="P207" s="576"/>
      <c r="Q207" s="576"/>
      <c r="R207" s="576"/>
      <c r="S207" s="576"/>
      <c r="T207" s="576"/>
      <c r="U207" s="576"/>
      <c r="V207" s="576"/>
      <c r="W207" s="577">
        <v>5316321</v>
      </c>
    </row>
    <row r="208" spans="1:23" ht="14.25" x14ac:dyDescent="0.2">
      <c r="A208" s="572" t="s">
        <v>1416</v>
      </c>
      <c r="B208" s="576">
        <v>1</v>
      </c>
      <c r="C208" s="576"/>
      <c r="D208" s="576"/>
      <c r="E208" s="576"/>
      <c r="F208" s="576"/>
      <c r="G208" s="576"/>
      <c r="H208" s="576"/>
      <c r="I208" s="576"/>
      <c r="J208" s="576"/>
      <c r="K208" s="576"/>
      <c r="L208" s="577">
        <v>38705</v>
      </c>
      <c r="M208" s="576">
        <v>1</v>
      </c>
      <c r="N208" s="576"/>
      <c r="O208" s="576"/>
      <c r="P208" s="576"/>
      <c r="Q208" s="576"/>
      <c r="R208" s="576"/>
      <c r="S208" s="576"/>
      <c r="T208" s="576"/>
      <c r="U208" s="576"/>
      <c r="V208" s="576"/>
      <c r="W208" s="577">
        <v>38705</v>
      </c>
    </row>
    <row r="209" spans="1:23" ht="14.25" x14ac:dyDescent="0.2">
      <c r="A209" s="572" t="s">
        <v>1417</v>
      </c>
      <c r="B209" s="576">
        <v>73</v>
      </c>
      <c r="C209" s="576"/>
      <c r="D209" s="576"/>
      <c r="E209" s="576"/>
      <c r="F209" s="576"/>
      <c r="G209" s="576"/>
      <c r="H209" s="576"/>
      <c r="I209" s="576"/>
      <c r="J209" s="576"/>
      <c r="K209" s="576"/>
      <c r="L209" s="577">
        <v>9083929</v>
      </c>
      <c r="M209" s="576">
        <v>75</v>
      </c>
      <c r="N209" s="576"/>
      <c r="O209" s="576"/>
      <c r="P209" s="576"/>
      <c r="Q209" s="576"/>
      <c r="R209" s="576"/>
      <c r="S209" s="576"/>
      <c r="T209" s="576"/>
      <c r="U209" s="576"/>
      <c r="V209" s="576"/>
      <c r="W209" s="577">
        <v>8461485</v>
      </c>
    </row>
    <row r="210" spans="1:23" ht="14.25" x14ac:dyDescent="0.2">
      <c r="A210" s="572" t="s">
        <v>1418</v>
      </c>
      <c r="B210" s="576">
        <v>9</v>
      </c>
      <c r="C210" s="576"/>
      <c r="D210" s="576"/>
      <c r="E210" s="576"/>
      <c r="F210" s="576"/>
      <c r="G210" s="576"/>
      <c r="H210" s="576"/>
      <c r="I210" s="576"/>
      <c r="J210" s="576"/>
      <c r="K210" s="576"/>
      <c r="L210" s="577">
        <v>923055</v>
      </c>
      <c r="M210" s="576">
        <v>11</v>
      </c>
      <c r="N210" s="576"/>
      <c r="O210" s="576"/>
      <c r="P210" s="576"/>
      <c r="Q210" s="576"/>
      <c r="R210" s="576"/>
      <c r="S210" s="576"/>
      <c r="T210" s="576"/>
      <c r="U210" s="576"/>
      <c r="V210" s="576"/>
      <c r="W210" s="577">
        <v>923055</v>
      </c>
    </row>
    <row r="211" spans="1:23" ht="14.25" x14ac:dyDescent="0.2">
      <c r="A211" s="572" t="s">
        <v>1419</v>
      </c>
      <c r="B211" s="576">
        <v>44</v>
      </c>
      <c r="C211" s="576"/>
      <c r="D211" s="576"/>
      <c r="E211" s="576"/>
      <c r="F211" s="576"/>
      <c r="G211" s="576"/>
      <c r="H211" s="576"/>
      <c r="I211" s="576"/>
      <c r="J211" s="576"/>
      <c r="K211" s="576"/>
      <c r="L211" s="577">
        <v>4237350</v>
      </c>
      <c r="M211" s="576">
        <v>44</v>
      </c>
      <c r="N211" s="576"/>
      <c r="O211" s="576"/>
      <c r="P211" s="576"/>
      <c r="Q211" s="576"/>
      <c r="R211" s="576"/>
      <c r="S211" s="576"/>
      <c r="T211" s="576"/>
      <c r="U211" s="576"/>
      <c r="V211" s="576"/>
      <c r="W211" s="577">
        <v>4237350</v>
      </c>
    </row>
    <row r="212" spans="1:23" ht="14.25" x14ac:dyDescent="0.2">
      <c r="A212" s="572" t="s">
        <v>1420</v>
      </c>
      <c r="B212" s="576">
        <v>103</v>
      </c>
      <c r="C212" s="576"/>
      <c r="D212" s="576"/>
      <c r="E212" s="576"/>
      <c r="F212" s="576"/>
      <c r="G212" s="576"/>
      <c r="H212" s="576"/>
      <c r="I212" s="576"/>
      <c r="J212" s="576"/>
      <c r="K212" s="576"/>
      <c r="L212" s="577">
        <v>9521785</v>
      </c>
      <c r="M212" s="576">
        <v>110</v>
      </c>
      <c r="N212" s="576"/>
      <c r="O212" s="576"/>
      <c r="P212" s="576"/>
      <c r="Q212" s="576"/>
      <c r="R212" s="576"/>
      <c r="S212" s="576"/>
      <c r="T212" s="576"/>
      <c r="U212" s="576"/>
      <c r="V212" s="576"/>
      <c r="W212" s="577">
        <v>9521785</v>
      </c>
    </row>
    <row r="213" spans="1:23" ht="14.25" x14ac:dyDescent="0.2">
      <c r="A213" s="572" t="s">
        <v>1421</v>
      </c>
      <c r="B213" s="576">
        <v>15</v>
      </c>
      <c r="C213" s="576"/>
      <c r="D213" s="576"/>
      <c r="E213" s="576"/>
      <c r="F213" s="576"/>
      <c r="G213" s="576"/>
      <c r="H213" s="576"/>
      <c r="I213" s="576"/>
      <c r="J213" s="576"/>
      <c r="K213" s="576"/>
      <c r="L213" s="577">
        <v>1112786</v>
      </c>
      <c r="M213" s="576">
        <v>14</v>
      </c>
      <c r="N213" s="576"/>
      <c r="O213" s="576"/>
      <c r="P213" s="576"/>
      <c r="Q213" s="576"/>
      <c r="R213" s="576"/>
      <c r="S213" s="576"/>
      <c r="T213" s="576"/>
      <c r="U213" s="576"/>
      <c r="V213" s="576"/>
      <c r="W213" s="577">
        <v>1046341</v>
      </c>
    </row>
    <row r="214" spans="1:23" ht="14.25" x14ac:dyDescent="0.2">
      <c r="A214" s="572" t="s">
        <v>1422</v>
      </c>
      <c r="B214" s="576"/>
      <c r="C214" s="576"/>
      <c r="D214" s="576"/>
      <c r="E214" s="576"/>
      <c r="F214" s="576"/>
      <c r="G214" s="576"/>
      <c r="H214" s="576"/>
      <c r="I214" s="576"/>
      <c r="J214" s="576"/>
      <c r="K214" s="576"/>
      <c r="L214" s="576"/>
      <c r="M214" s="576"/>
      <c r="N214" s="576"/>
      <c r="O214" s="576"/>
      <c r="P214" s="576"/>
      <c r="Q214" s="576"/>
      <c r="R214" s="576"/>
      <c r="S214" s="576"/>
      <c r="T214" s="576"/>
      <c r="U214" s="576"/>
      <c r="V214" s="576"/>
      <c r="W214" s="576"/>
    </row>
    <row r="215" spans="1:23" ht="14.25" x14ac:dyDescent="0.2">
      <c r="A215" s="572" t="s">
        <v>1423</v>
      </c>
      <c r="B215" s="576">
        <v>2</v>
      </c>
      <c r="C215" s="576"/>
      <c r="D215" s="576"/>
      <c r="E215" s="576"/>
      <c r="F215" s="576"/>
      <c r="G215" s="576"/>
      <c r="H215" s="576"/>
      <c r="I215" s="576"/>
      <c r="J215" s="576"/>
      <c r="K215" s="576"/>
      <c r="L215" s="577">
        <v>123039</v>
      </c>
      <c r="M215" s="579">
        <v>2</v>
      </c>
      <c r="N215" s="577"/>
      <c r="O215" s="577"/>
      <c r="P215" s="577"/>
      <c r="Q215" s="577"/>
      <c r="R215" s="577"/>
      <c r="S215" s="577"/>
      <c r="T215" s="577"/>
      <c r="U215" s="577"/>
      <c r="V215" s="577"/>
      <c r="W215" s="577">
        <v>123039</v>
      </c>
    </row>
    <row r="216" spans="1:23" ht="14.25" x14ac:dyDescent="0.2">
      <c r="A216" s="572" t="s">
        <v>1424</v>
      </c>
      <c r="B216" s="576">
        <v>20</v>
      </c>
      <c r="C216" s="576"/>
      <c r="D216" s="576"/>
      <c r="E216" s="576"/>
      <c r="F216" s="576"/>
      <c r="G216" s="576"/>
      <c r="H216" s="576"/>
      <c r="I216" s="576"/>
      <c r="J216" s="576"/>
      <c r="K216" s="576"/>
      <c r="L216" s="577">
        <v>1241757</v>
      </c>
      <c r="M216" s="579">
        <v>20</v>
      </c>
      <c r="N216" s="577"/>
      <c r="O216" s="577"/>
      <c r="P216" s="577"/>
      <c r="Q216" s="577"/>
      <c r="R216" s="577"/>
      <c r="S216" s="577"/>
      <c r="T216" s="577"/>
      <c r="U216" s="577"/>
      <c r="V216" s="577"/>
      <c r="W216" s="577">
        <v>1241757</v>
      </c>
    </row>
    <row r="217" spans="1:23" ht="14.25" x14ac:dyDescent="0.2">
      <c r="A217" s="572" t="s">
        <v>1425</v>
      </c>
      <c r="B217" s="576">
        <v>78</v>
      </c>
      <c r="C217" s="576"/>
      <c r="D217" s="576"/>
      <c r="E217" s="576"/>
      <c r="F217" s="576"/>
      <c r="G217" s="576"/>
      <c r="H217" s="576"/>
      <c r="I217" s="576"/>
      <c r="J217" s="576"/>
      <c r="K217" s="576"/>
      <c r="L217" s="577">
        <v>4759166</v>
      </c>
      <c r="M217" s="579">
        <v>82</v>
      </c>
      <c r="N217" s="577"/>
      <c r="O217" s="577"/>
      <c r="P217" s="577"/>
      <c r="Q217" s="577"/>
      <c r="R217" s="577"/>
      <c r="S217" s="577"/>
      <c r="T217" s="577"/>
      <c r="U217" s="577"/>
      <c r="V217" s="577"/>
      <c r="W217" s="577">
        <f>4728943+30223</f>
        <v>4759166</v>
      </c>
    </row>
    <row r="218" spans="1:23" ht="14.25" x14ac:dyDescent="0.2">
      <c r="A218" s="572" t="s">
        <v>1426</v>
      </c>
      <c r="B218" s="576">
        <v>17</v>
      </c>
      <c r="C218" s="576"/>
      <c r="D218" s="576"/>
      <c r="E218" s="576"/>
      <c r="F218" s="576"/>
      <c r="G218" s="576"/>
      <c r="H218" s="576"/>
      <c r="I218" s="576"/>
      <c r="J218" s="576"/>
      <c r="K218" s="576"/>
      <c r="L218" s="577">
        <v>1136594</v>
      </c>
      <c r="M218" s="579">
        <v>17</v>
      </c>
      <c r="N218" s="577"/>
      <c r="O218" s="577"/>
      <c r="P218" s="577"/>
      <c r="Q218" s="577"/>
      <c r="R218" s="577"/>
      <c r="S218" s="577"/>
      <c r="T218" s="577"/>
      <c r="U218" s="577"/>
      <c r="V218" s="577"/>
      <c r="W218" s="577">
        <v>1136594</v>
      </c>
    </row>
    <row r="219" spans="1:23" ht="14.25" x14ac:dyDescent="0.2">
      <c r="A219" s="572" t="s">
        <v>1427</v>
      </c>
      <c r="B219" s="576">
        <v>1</v>
      </c>
      <c r="C219" s="576"/>
      <c r="D219" s="576"/>
      <c r="E219" s="576"/>
      <c r="F219" s="576"/>
      <c r="G219" s="576"/>
      <c r="H219" s="576"/>
      <c r="I219" s="576"/>
      <c r="J219" s="576"/>
      <c r="K219" s="576"/>
      <c r="L219" s="577">
        <v>62779</v>
      </c>
      <c r="M219" s="579">
        <v>1</v>
      </c>
      <c r="N219" s="577"/>
      <c r="O219" s="577"/>
      <c r="P219" s="577"/>
      <c r="Q219" s="577"/>
      <c r="R219" s="577"/>
      <c r="S219" s="577"/>
      <c r="T219" s="577"/>
      <c r="U219" s="577"/>
      <c r="V219" s="577"/>
      <c r="W219" s="577">
        <v>62779</v>
      </c>
    </row>
    <row r="220" spans="1:23" ht="14.25" x14ac:dyDescent="0.2">
      <c r="A220" s="572" t="s">
        <v>1428</v>
      </c>
      <c r="B220" s="576">
        <v>2</v>
      </c>
      <c r="C220" s="576"/>
      <c r="D220" s="576"/>
      <c r="E220" s="576"/>
      <c r="F220" s="576"/>
      <c r="G220" s="576"/>
      <c r="H220" s="576"/>
      <c r="I220" s="576"/>
      <c r="J220" s="576"/>
      <c r="K220" s="576"/>
      <c r="L220" s="577">
        <v>118979</v>
      </c>
      <c r="M220" s="579">
        <v>2</v>
      </c>
      <c r="N220" s="577"/>
      <c r="O220" s="577"/>
      <c r="P220" s="577"/>
      <c r="Q220" s="577"/>
      <c r="R220" s="577"/>
      <c r="S220" s="577"/>
      <c r="T220" s="577"/>
      <c r="U220" s="577"/>
      <c r="V220" s="577"/>
      <c r="W220" s="577">
        <v>118979</v>
      </c>
    </row>
    <row r="221" spans="1:23" ht="14.25" x14ac:dyDescent="0.2">
      <c r="A221" s="572" t="s">
        <v>1429</v>
      </c>
      <c r="B221" s="576">
        <v>2</v>
      </c>
      <c r="C221" s="576"/>
      <c r="D221" s="576"/>
      <c r="E221" s="576"/>
      <c r="F221" s="576"/>
      <c r="G221" s="576"/>
      <c r="H221" s="576"/>
      <c r="I221" s="576"/>
      <c r="J221" s="576"/>
      <c r="K221" s="576"/>
      <c r="L221" s="577">
        <v>112858</v>
      </c>
      <c r="M221" s="579">
        <v>2</v>
      </c>
      <c r="N221" s="577"/>
      <c r="O221" s="577"/>
      <c r="P221" s="577"/>
      <c r="Q221" s="577"/>
      <c r="R221" s="577"/>
      <c r="S221" s="577"/>
      <c r="T221" s="577"/>
      <c r="U221" s="577"/>
      <c r="V221" s="577"/>
      <c r="W221" s="577">
        <v>112858</v>
      </c>
    </row>
    <row r="222" spans="1:23" ht="14.25" x14ac:dyDescent="0.2">
      <c r="A222" s="572" t="s">
        <v>1430</v>
      </c>
      <c r="B222" s="576">
        <v>48</v>
      </c>
      <c r="C222" s="576"/>
      <c r="D222" s="576"/>
      <c r="E222" s="576"/>
      <c r="F222" s="576"/>
      <c r="G222" s="576"/>
      <c r="H222" s="576"/>
      <c r="I222" s="576"/>
      <c r="J222" s="576"/>
      <c r="K222" s="576"/>
      <c r="L222" s="577">
        <v>2539134</v>
      </c>
      <c r="M222" s="579">
        <v>48</v>
      </c>
      <c r="N222" s="577"/>
      <c r="O222" s="577"/>
      <c r="P222" s="577"/>
      <c r="Q222" s="577"/>
      <c r="R222" s="577"/>
      <c r="S222" s="577"/>
      <c r="T222" s="577"/>
      <c r="U222" s="577"/>
      <c r="V222" s="577"/>
      <c r="W222" s="577">
        <v>2539134</v>
      </c>
    </row>
    <row r="223" spans="1:23" ht="14.25" x14ac:dyDescent="0.2">
      <c r="A223" s="572" t="s">
        <v>1431</v>
      </c>
      <c r="B223" s="576"/>
      <c r="C223" s="576"/>
      <c r="D223" s="576"/>
      <c r="E223" s="576"/>
      <c r="F223" s="576"/>
      <c r="G223" s="576"/>
      <c r="H223" s="576"/>
      <c r="I223" s="576"/>
      <c r="J223" s="576"/>
      <c r="K223" s="576"/>
      <c r="L223" s="577">
        <v>0</v>
      </c>
      <c r="M223" s="577"/>
      <c r="N223" s="577"/>
      <c r="O223" s="577"/>
      <c r="P223" s="577"/>
      <c r="Q223" s="577"/>
      <c r="R223" s="577"/>
      <c r="S223" s="577"/>
      <c r="T223" s="577"/>
      <c r="U223" s="577"/>
      <c r="V223" s="577"/>
      <c r="W223" s="577">
        <v>0</v>
      </c>
    </row>
    <row r="224" spans="1:23" ht="14.25" x14ac:dyDescent="0.2">
      <c r="A224" s="572" t="s">
        <v>1432</v>
      </c>
      <c r="B224" s="576"/>
      <c r="C224" s="576"/>
      <c r="D224" s="576"/>
      <c r="E224" s="576"/>
      <c r="F224" s="576"/>
      <c r="G224" s="576"/>
      <c r="H224" s="576"/>
      <c r="I224" s="576"/>
      <c r="J224" s="576"/>
      <c r="K224" s="576"/>
      <c r="L224" s="577">
        <v>0</v>
      </c>
      <c r="M224" s="577"/>
      <c r="N224" s="577"/>
      <c r="O224" s="577"/>
      <c r="P224" s="577"/>
      <c r="Q224" s="577"/>
      <c r="R224" s="577"/>
      <c r="S224" s="577"/>
      <c r="T224" s="577"/>
      <c r="U224" s="577"/>
      <c r="V224" s="577"/>
      <c r="W224" s="577">
        <v>0</v>
      </c>
    </row>
    <row r="225" spans="1:23" ht="14.25" x14ac:dyDescent="0.2">
      <c r="A225" s="572" t="s">
        <v>1433</v>
      </c>
      <c r="B225" s="576"/>
      <c r="C225" s="576"/>
      <c r="D225" s="576"/>
      <c r="E225" s="576"/>
      <c r="F225" s="576"/>
      <c r="G225" s="576"/>
      <c r="H225" s="576"/>
      <c r="I225" s="576"/>
      <c r="J225" s="576"/>
      <c r="K225" s="576"/>
      <c r="L225" s="577">
        <v>0</v>
      </c>
      <c r="M225" s="577"/>
      <c r="N225" s="577"/>
      <c r="O225" s="577"/>
      <c r="P225" s="577"/>
      <c r="Q225" s="577"/>
      <c r="R225" s="577"/>
      <c r="S225" s="577"/>
      <c r="T225" s="577"/>
      <c r="U225" s="577"/>
      <c r="V225" s="577"/>
      <c r="W225" s="577">
        <v>0</v>
      </c>
    </row>
    <row r="226" spans="1:23" ht="14.25" x14ac:dyDescent="0.2">
      <c r="A226" s="572" t="s">
        <v>1434</v>
      </c>
      <c r="B226" s="576">
        <v>1</v>
      </c>
      <c r="C226" s="576"/>
      <c r="D226" s="576"/>
      <c r="E226" s="576"/>
      <c r="F226" s="576"/>
      <c r="G226" s="576"/>
      <c r="H226" s="576"/>
      <c r="I226" s="576"/>
      <c r="J226" s="576"/>
      <c r="K226" s="576"/>
      <c r="L226" s="577">
        <v>56429</v>
      </c>
      <c r="M226" s="579">
        <v>1</v>
      </c>
      <c r="N226" s="577"/>
      <c r="O226" s="577"/>
      <c r="P226" s="577"/>
      <c r="Q226" s="577"/>
      <c r="R226" s="577"/>
      <c r="S226" s="577"/>
      <c r="T226" s="577"/>
      <c r="U226" s="577"/>
      <c r="V226" s="577"/>
      <c r="W226" s="577">
        <v>56429</v>
      </c>
    </row>
    <row r="227" spans="1:23" ht="14.25" x14ac:dyDescent="0.2">
      <c r="A227" s="572" t="s">
        <v>1435</v>
      </c>
      <c r="B227" s="576">
        <v>18</v>
      </c>
      <c r="C227" s="576"/>
      <c r="D227" s="576"/>
      <c r="E227" s="576"/>
      <c r="F227" s="576"/>
      <c r="G227" s="576"/>
      <c r="H227" s="576"/>
      <c r="I227" s="576"/>
      <c r="J227" s="576"/>
      <c r="K227" s="576"/>
      <c r="L227" s="577">
        <f>1073561+10500</f>
        <v>1084061</v>
      </c>
      <c r="M227" s="576">
        <v>18</v>
      </c>
      <c r="N227" s="576"/>
      <c r="O227" s="576"/>
      <c r="P227" s="576"/>
      <c r="Q227" s="576"/>
      <c r="R227" s="576"/>
      <c r="S227" s="576"/>
      <c r="T227" s="576"/>
      <c r="U227" s="576"/>
      <c r="V227" s="576"/>
      <c r="W227" s="577">
        <f>1073561+10500</f>
        <v>1084061</v>
      </c>
    </row>
    <row r="228" spans="1:23" x14ac:dyDescent="0.2">
      <c r="A228" s="569" t="s">
        <v>5</v>
      </c>
      <c r="B228" s="578">
        <f>SUM(B229:B234)</f>
        <v>502</v>
      </c>
      <c r="C228" s="578"/>
      <c r="D228" s="578"/>
      <c r="E228" s="578"/>
      <c r="F228" s="578"/>
      <c r="G228" s="578"/>
      <c r="H228" s="578"/>
      <c r="I228" s="578"/>
      <c r="J228" s="578"/>
      <c r="K228" s="578"/>
      <c r="L228" s="580">
        <f>SUM(L229:L234)</f>
        <v>16384596</v>
      </c>
      <c r="M228" s="578">
        <f>SUM(M229:M234)</f>
        <v>503</v>
      </c>
      <c r="N228" s="578"/>
      <c r="O228" s="578"/>
      <c r="P228" s="578"/>
      <c r="Q228" s="578"/>
      <c r="R228" s="578"/>
      <c r="S228" s="578"/>
      <c r="T228" s="578"/>
      <c r="U228" s="578"/>
      <c r="V228" s="578"/>
      <c r="W228" s="578">
        <f>SUM(W229:W234)</f>
        <v>16330499</v>
      </c>
    </row>
    <row r="229" spans="1:23" ht="14.25" x14ac:dyDescent="0.2">
      <c r="A229" s="571" t="s">
        <v>17</v>
      </c>
      <c r="B229" s="576">
        <v>38</v>
      </c>
      <c r="C229" s="576"/>
      <c r="D229" s="576"/>
      <c r="E229" s="576"/>
      <c r="F229" s="576"/>
      <c r="G229" s="576"/>
      <c r="H229" s="576"/>
      <c r="I229" s="576"/>
      <c r="J229" s="576"/>
      <c r="K229" s="576"/>
      <c r="L229" s="577">
        <f>1206351+15066</f>
        <v>1221417</v>
      </c>
      <c r="M229" s="576">
        <v>38</v>
      </c>
      <c r="N229" s="576"/>
      <c r="O229" s="576"/>
      <c r="P229" s="576"/>
      <c r="Q229" s="576"/>
      <c r="R229" s="576"/>
      <c r="S229" s="576"/>
      <c r="T229" s="576"/>
      <c r="U229" s="576"/>
      <c r="V229" s="576"/>
      <c r="W229" s="577">
        <f>1206351+15066</f>
        <v>1221417</v>
      </c>
    </row>
    <row r="230" spans="1:23" ht="14.25" x14ac:dyDescent="0.2">
      <c r="A230" s="571" t="s">
        <v>1436</v>
      </c>
      <c r="B230" s="576">
        <v>70</v>
      </c>
      <c r="C230" s="576"/>
      <c r="D230" s="576"/>
      <c r="E230" s="576"/>
      <c r="F230" s="576"/>
      <c r="G230" s="576"/>
      <c r="H230" s="576"/>
      <c r="I230" s="576"/>
      <c r="J230" s="576"/>
      <c r="K230" s="576"/>
      <c r="L230" s="577">
        <f>2230094+15066</f>
        <v>2245160</v>
      </c>
      <c r="M230" s="576">
        <v>70</v>
      </c>
      <c r="N230" s="576"/>
      <c r="O230" s="576"/>
      <c r="P230" s="576"/>
      <c r="Q230" s="576"/>
      <c r="R230" s="576"/>
      <c r="S230" s="576"/>
      <c r="T230" s="576"/>
      <c r="U230" s="576"/>
      <c r="V230" s="576"/>
      <c r="W230" s="577">
        <f>2230094+15066</f>
        <v>2245160</v>
      </c>
    </row>
    <row r="231" spans="1:23" ht="14.25" x14ac:dyDescent="0.2">
      <c r="A231" s="571" t="s">
        <v>1437</v>
      </c>
      <c r="B231" s="576">
        <v>138</v>
      </c>
      <c r="C231" s="576"/>
      <c r="D231" s="576"/>
      <c r="E231" s="576"/>
      <c r="F231" s="576"/>
      <c r="G231" s="576"/>
      <c r="H231" s="576"/>
      <c r="I231" s="576"/>
      <c r="J231" s="576"/>
      <c r="K231" s="576"/>
      <c r="L231" s="577">
        <f>4823863+6816</f>
        <v>4830679</v>
      </c>
      <c r="M231" s="576">
        <v>138</v>
      </c>
      <c r="N231" s="576"/>
      <c r="O231" s="576"/>
      <c r="P231" s="576"/>
      <c r="Q231" s="576"/>
      <c r="R231" s="576"/>
      <c r="S231" s="576"/>
      <c r="T231" s="576"/>
      <c r="U231" s="576"/>
      <c r="V231" s="576"/>
      <c r="W231" s="577">
        <f>4823863+6816</f>
        <v>4830679</v>
      </c>
    </row>
    <row r="232" spans="1:23" ht="14.25" x14ac:dyDescent="0.2">
      <c r="A232" s="571" t="s">
        <v>1438</v>
      </c>
      <c r="B232" s="576">
        <v>76</v>
      </c>
      <c r="C232" s="576"/>
      <c r="D232" s="576"/>
      <c r="E232" s="576"/>
      <c r="F232" s="576"/>
      <c r="G232" s="576"/>
      <c r="H232" s="576"/>
      <c r="I232" s="576"/>
      <c r="J232" s="576"/>
      <c r="K232" s="576"/>
      <c r="L232" s="577">
        <f>2178954+15066+26346</f>
        <v>2220366</v>
      </c>
      <c r="M232" s="576">
        <v>76</v>
      </c>
      <c r="N232" s="576"/>
      <c r="O232" s="576"/>
      <c r="P232" s="576"/>
      <c r="Q232" s="576"/>
      <c r="R232" s="576"/>
      <c r="S232" s="576"/>
      <c r="T232" s="576"/>
      <c r="U232" s="576"/>
      <c r="V232" s="576"/>
      <c r="W232" s="577">
        <f>2178954+15066+26346</f>
        <v>2220366</v>
      </c>
    </row>
    <row r="233" spans="1:23" ht="14.25" x14ac:dyDescent="0.2">
      <c r="A233" s="571" t="s">
        <v>18</v>
      </c>
      <c r="B233" s="576">
        <v>21</v>
      </c>
      <c r="C233" s="576"/>
      <c r="D233" s="576"/>
      <c r="E233" s="576"/>
      <c r="F233" s="576"/>
      <c r="G233" s="576"/>
      <c r="H233" s="576"/>
      <c r="I233" s="576"/>
      <c r="J233" s="576"/>
      <c r="K233" s="576"/>
      <c r="L233" s="577">
        <f>631128+15066</f>
        <v>646194</v>
      </c>
      <c r="M233" s="576">
        <v>21</v>
      </c>
      <c r="N233" s="576"/>
      <c r="O233" s="576"/>
      <c r="P233" s="576"/>
      <c r="Q233" s="576"/>
      <c r="R233" s="576"/>
      <c r="S233" s="576"/>
      <c r="T233" s="576"/>
      <c r="U233" s="576"/>
      <c r="V233" s="576"/>
      <c r="W233" s="577">
        <f>631128+15066</f>
        <v>646194</v>
      </c>
    </row>
    <row r="234" spans="1:23" ht="14.25" x14ac:dyDescent="0.2">
      <c r="A234" s="571" t="s">
        <v>1439</v>
      </c>
      <c r="B234" s="576">
        <v>159</v>
      </c>
      <c r="C234" s="576"/>
      <c r="D234" s="576"/>
      <c r="E234" s="576"/>
      <c r="F234" s="576"/>
      <c r="G234" s="576"/>
      <c r="H234" s="576"/>
      <c r="I234" s="576"/>
      <c r="J234" s="576"/>
      <c r="K234" s="576"/>
      <c r="L234" s="577">
        <f>5527701-306921</f>
        <v>5220780</v>
      </c>
      <c r="M234" s="576">
        <v>160</v>
      </c>
      <c r="N234" s="576"/>
      <c r="O234" s="576"/>
      <c r="P234" s="576"/>
      <c r="Q234" s="576"/>
      <c r="R234" s="576"/>
      <c r="S234" s="576"/>
      <c r="T234" s="576"/>
      <c r="U234" s="576"/>
      <c r="V234" s="576"/>
      <c r="W234" s="577">
        <f>5269262+15066-117645</f>
        <v>5166683</v>
      </c>
    </row>
    <row r="235" spans="1:23" x14ac:dyDescent="0.2">
      <c r="A235" s="569" t="s">
        <v>6</v>
      </c>
      <c r="B235" s="578">
        <f>SUM(B236:B241)</f>
        <v>219</v>
      </c>
      <c r="C235" s="578"/>
      <c r="D235" s="578"/>
      <c r="E235" s="578"/>
      <c r="F235" s="578"/>
      <c r="G235" s="578"/>
      <c r="H235" s="578"/>
      <c r="I235" s="578"/>
      <c r="J235" s="578"/>
      <c r="K235" s="578"/>
      <c r="L235" s="580">
        <f>SUM(L236:L241)</f>
        <v>6896208</v>
      </c>
      <c r="M235" s="578">
        <f>SUM(M236:M241)</f>
        <v>219</v>
      </c>
      <c r="N235" s="578"/>
      <c r="O235" s="578"/>
      <c r="P235" s="578"/>
      <c r="Q235" s="578"/>
      <c r="R235" s="578"/>
      <c r="S235" s="578"/>
      <c r="T235" s="578"/>
      <c r="U235" s="578"/>
      <c r="V235" s="578"/>
      <c r="W235" s="578">
        <f>SUM(W236:W241)</f>
        <v>6896208</v>
      </c>
    </row>
    <row r="236" spans="1:23" ht="14.25" x14ac:dyDescent="0.2">
      <c r="A236" s="571" t="s">
        <v>19</v>
      </c>
      <c r="B236" s="576">
        <v>7</v>
      </c>
      <c r="C236" s="576"/>
      <c r="D236" s="576"/>
      <c r="E236" s="576"/>
      <c r="F236" s="576"/>
      <c r="G236" s="576"/>
      <c r="H236" s="576"/>
      <c r="I236" s="576"/>
      <c r="J236" s="576"/>
      <c r="K236" s="576"/>
      <c r="L236" s="577">
        <v>201391</v>
      </c>
      <c r="M236" s="576">
        <v>7</v>
      </c>
      <c r="N236" s="576"/>
      <c r="O236" s="576"/>
      <c r="P236" s="576"/>
      <c r="Q236" s="576"/>
      <c r="R236" s="576"/>
      <c r="S236" s="576"/>
      <c r="T236" s="576"/>
      <c r="U236" s="576"/>
      <c r="V236" s="576"/>
      <c r="W236" s="577">
        <v>201391</v>
      </c>
    </row>
    <row r="237" spans="1:23" ht="14.25" x14ac:dyDescent="0.2">
      <c r="A237" s="571" t="s">
        <v>1440</v>
      </c>
      <c r="B237" s="576">
        <v>65</v>
      </c>
      <c r="C237" s="576"/>
      <c r="D237" s="576"/>
      <c r="E237" s="576"/>
      <c r="F237" s="576"/>
      <c r="G237" s="576"/>
      <c r="H237" s="576"/>
      <c r="I237" s="576"/>
      <c r="J237" s="576"/>
      <c r="K237" s="576"/>
      <c r="L237" s="577">
        <v>2115061</v>
      </c>
      <c r="M237" s="576">
        <v>65</v>
      </c>
      <c r="N237" s="576"/>
      <c r="O237" s="576"/>
      <c r="P237" s="576"/>
      <c r="Q237" s="576"/>
      <c r="R237" s="576"/>
      <c r="S237" s="576"/>
      <c r="T237" s="576"/>
      <c r="U237" s="576"/>
      <c r="V237" s="576"/>
      <c r="W237" s="577">
        <v>2115061</v>
      </c>
    </row>
    <row r="238" spans="1:23" ht="14.25" x14ac:dyDescent="0.2">
      <c r="A238" s="571" t="s">
        <v>1441</v>
      </c>
      <c r="B238" s="576">
        <v>16</v>
      </c>
      <c r="C238" s="576"/>
      <c r="D238" s="576"/>
      <c r="E238" s="576"/>
      <c r="F238" s="576"/>
      <c r="G238" s="576"/>
      <c r="H238" s="576"/>
      <c r="I238" s="576"/>
      <c r="J238" s="576"/>
      <c r="K238" s="576"/>
      <c r="L238" s="577">
        <v>536742</v>
      </c>
      <c r="M238" s="576">
        <v>16</v>
      </c>
      <c r="N238" s="576"/>
      <c r="O238" s="576"/>
      <c r="P238" s="576"/>
      <c r="Q238" s="576"/>
      <c r="R238" s="576"/>
      <c r="S238" s="576"/>
      <c r="T238" s="576"/>
      <c r="U238" s="576"/>
      <c r="V238" s="576"/>
      <c r="W238" s="577">
        <v>536742</v>
      </c>
    </row>
    <row r="239" spans="1:23" ht="14.25" x14ac:dyDescent="0.2">
      <c r="A239" s="571" t="s">
        <v>1442</v>
      </c>
      <c r="B239" s="576">
        <v>76</v>
      </c>
      <c r="C239" s="576"/>
      <c r="D239" s="576"/>
      <c r="E239" s="576"/>
      <c r="F239" s="576"/>
      <c r="G239" s="576"/>
      <c r="H239" s="576"/>
      <c r="I239" s="576"/>
      <c r="J239" s="576"/>
      <c r="K239" s="576"/>
      <c r="L239" s="577">
        <v>2322187</v>
      </c>
      <c r="M239" s="576">
        <v>76</v>
      </c>
      <c r="N239" s="576"/>
      <c r="O239" s="576"/>
      <c r="P239" s="576"/>
      <c r="Q239" s="576"/>
      <c r="R239" s="576"/>
      <c r="S239" s="576"/>
      <c r="T239" s="576"/>
      <c r="U239" s="576"/>
      <c r="V239" s="576"/>
      <c r="W239" s="577">
        <v>2322187</v>
      </c>
    </row>
    <row r="240" spans="1:23" ht="14.25" x14ac:dyDescent="0.2">
      <c r="A240" s="571" t="s">
        <v>20</v>
      </c>
      <c r="B240" s="576"/>
      <c r="C240" s="576"/>
      <c r="D240" s="576"/>
      <c r="E240" s="576"/>
      <c r="F240" s="576"/>
      <c r="G240" s="576"/>
      <c r="H240" s="576"/>
      <c r="I240" s="576"/>
      <c r="J240" s="576"/>
      <c r="K240" s="576"/>
      <c r="L240" s="577"/>
      <c r="M240" s="576"/>
      <c r="N240" s="576"/>
      <c r="O240" s="576"/>
      <c r="P240" s="576"/>
      <c r="Q240" s="576"/>
      <c r="R240" s="576"/>
      <c r="S240" s="576"/>
      <c r="T240" s="576"/>
      <c r="U240" s="576"/>
      <c r="V240" s="576"/>
      <c r="W240" s="577"/>
    </row>
    <row r="241" spans="1:23" ht="14.25" x14ac:dyDescent="0.2">
      <c r="A241" s="571" t="s">
        <v>1443</v>
      </c>
      <c r="B241" s="576">
        <v>55</v>
      </c>
      <c r="C241" s="576"/>
      <c r="D241" s="576"/>
      <c r="E241" s="576"/>
      <c r="F241" s="576"/>
      <c r="G241" s="576"/>
      <c r="H241" s="576"/>
      <c r="I241" s="576"/>
      <c r="J241" s="576"/>
      <c r="K241" s="576"/>
      <c r="L241" s="577">
        <v>1720827</v>
      </c>
      <c r="M241" s="576">
        <v>55</v>
      </c>
      <c r="N241" s="576"/>
      <c r="O241" s="576"/>
      <c r="P241" s="576"/>
      <c r="Q241" s="576"/>
      <c r="R241" s="576"/>
      <c r="S241" s="576"/>
      <c r="T241" s="576"/>
      <c r="U241" s="576"/>
      <c r="V241" s="576"/>
      <c r="W241" s="577">
        <v>1720827</v>
      </c>
    </row>
    <row r="242" spans="1:23" ht="15" x14ac:dyDescent="0.2">
      <c r="A242" s="573" t="s">
        <v>1444</v>
      </c>
      <c r="B242" s="581"/>
      <c r="C242" s="581"/>
      <c r="D242" s="582">
        <f>SUM(D243)</f>
        <v>1663</v>
      </c>
      <c r="E242" s="581"/>
      <c r="F242" s="581"/>
      <c r="G242" s="581"/>
      <c r="H242" s="581"/>
      <c r="I242" s="581"/>
      <c r="J242" s="581"/>
      <c r="K242" s="581"/>
      <c r="L242" s="583">
        <f>SUM(L243)</f>
        <v>30242770</v>
      </c>
      <c r="M242" s="581"/>
      <c r="N242" s="581"/>
      <c r="O242" s="582">
        <f>SUM(O243)</f>
        <v>1663</v>
      </c>
      <c r="P242" s="581"/>
      <c r="Q242" s="581"/>
      <c r="R242" s="581"/>
      <c r="S242" s="581"/>
      <c r="T242" s="581"/>
      <c r="U242" s="581"/>
      <c r="V242" s="581"/>
      <c r="W242" s="584">
        <f>SUM(W243)</f>
        <v>19469685</v>
      </c>
    </row>
    <row r="243" spans="1:23" ht="15" thickBot="1" x14ac:dyDescent="0.25">
      <c r="A243" s="571" t="s">
        <v>1445</v>
      </c>
      <c r="B243" s="576"/>
      <c r="C243" s="576"/>
      <c r="D243" s="576">
        <f>717+946</f>
        <v>1663</v>
      </c>
      <c r="E243" s="576"/>
      <c r="F243" s="576"/>
      <c r="G243" s="576"/>
      <c r="H243" s="576"/>
      <c r="I243" s="576"/>
      <c r="J243" s="576"/>
      <c r="K243" s="576"/>
      <c r="L243" s="577">
        <f>19469685+10773085</f>
        <v>30242770</v>
      </c>
      <c r="M243" s="577"/>
      <c r="N243" s="577"/>
      <c r="O243" s="576">
        <f>717+946</f>
        <v>1663</v>
      </c>
      <c r="P243" s="577"/>
      <c r="Q243" s="577"/>
      <c r="R243" s="577"/>
      <c r="S243" s="577"/>
      <c r="T243" s="577"/>
      <c r="U243" s="577"/>
      <c r="V243" s="577"/>
      <c r="W243" s="577">
        <v>19469685</v>
      </c>
    </row>
    <row r="244" spans="1:23" ht="13.5" thickBot="1" x14ac:dyDescent="0.25">
      <c r="A244" s="128" t="s">
        <v>25</v>
      </c>
      <c r="B244" s="570">
        <f>B235+B228+B192+B183</f>
        <v>1490</v>
      </c>
      <c r="C244" s="570"/>
      <c r="D244" s="570">
        <f>SUM(D243:D243)</f>
        <v>1663</v>
      </c>
      <c r="E244" s="570"/>
      <c r="F244" s="570"/>
      <c r="G244" s="570"/>
      <c r="H244" s="570"/>
      <c r="I244" s="570"/>
      <c r="J244" s="570"/>
      <c r="K244" s="570"/>
      <c r="L244" s="585">
        <f>L242+L235+L228+L192+L183</f>
        <v>108545425</v>
      </c>
      <c r="M244" s="578">
        <f>M235+M228+M192+M183</f>
        <v>1515</v>
      </c>
      <c r="N244" s="578"/>
      <c r="O244" s="586">
        <f>SUM(O243:O243)</f>
        <v>1663</v>
      </c>
      <c r="P244" s="578"/>
      <c r="Q244" s="578"/>
      <c r="R244" s="578"/>
      <c r="S244" s="578"/>
      <c r="T244" s="578"/>
      <c r="U244" s="578"/>
      <c r="V244" s="578"/>
      <c r="W244" s="585">
        <f>W242+W235+W228+W192+W183</f>
        <v>96843627</v>
      </c>
    </row>
    <row r="245" spans="1:23" x14ac:dyDescent="0.2">
      <c r="A245" s="574" t="s">
        <v>308</v>
      </c>
      <c r="B245" s="490"/>
      <c r="C245" s="490"/>
      <c r="D245" s="490"/>
      <c r="E245" s="490"/>
      <c r="F245" s="490"/>
      <c r="G245" s="490"/>
      <c r="H245" s="490"/>
      <c r="I245" s="490"/>
      <c r="J245" s="490"/>
      <c r="K245" s="490"/>
      <c r="L245" s="490"/>
      <c r="M245" s="490"/>
      <c r="N245" s="490"/>
      <c r="O245" s="490"/>
      <c r="P245" s="162"/>
      <c r="Q245" s="151"/>
      <c r="R245"/>
      <c r="S245"/>
      <c r="T245" s="162"/>
      <c r="U245" s="162"/>
      <c r="V245" s="162"/>
      <c r="W245" s="162"/>
    </row>
    <row r="246" spans="1:23" x14ac:dyDescent="0.2">
      <c r="A246" s="28" t="s">
        <v>302</v>
      </c>
      <c r="P246" s="162"/>
      <c r="Q246" s="151"/>
      <c r="R246"/>
      <c r="S246"/>
      <c r="T246"/>
      <c r="U246"/>
      <c r="V246" s="162"/>
      <c r="W246" s="162"/>
    </row>
    <row r="247" spans="1:23" x14ac:dyDescent="0.2">
      <c r="A247" s="28" t="s">
        <v>306</v>
      </c>
      <c r="P247" s="162"/>
      <c r="Q247" s="151"/>
      <c r="R247"/>
      <c r="S247"/>
      <c r="T247"/>
      <c r="U247"/>
      <c r="V247" s="162"/>
      <c r="W247" s="162"/>
    </row>
    <row r="248" spans="1:23" x14ac:dyDescent="0.2">
      <c r="A248" s="28" t="s">
        <v>313</v>
      </c>
    </row>
    <row r="250" spans="1:23" ht="15.75" x14ac:dyDescent="0.2">
      <c r="A250" s="561" t="s">
        <v>422</v>
      </c>
      <c r="B250" s="562"/>
      <c r="C250" s="562"/>
      <c r="D250" s="562"/>
      <c r="E250" s="562"/>
      <c r="F250" s="562"/>
      <c r="G250" s="562"/>
      <c r="H250" s="562"/>
      <c r="I250" s="562"/>
      <c r="J250" s="562"/>
      <c r="K250" s="562"/>
      <c r="L250" s="562"/>
      <c r="M250" s="562"/>
      <c r="N250" s="562"/>
      <c r="O250" s="562"/>
      <c r="P250" s="562"/>
      <c r="Q250" s="562"/>
      <c r="R250" s="562"/>
      <c r="S250" s="562"/>
      <c r="T250" s="562"/>
      <c r="U250" s="562"/>
      <c r="V250" s="562"/>
      <c r="W250" s="562"/>
    </row>
    <row r="251" spans="1:23" ht="15.75" x14ac:dyDescent="0.2">
      <c r="A251" s="173" t="s">
        <v>460</v>
      </c>
      <c r="B251" s="562"/>
      <c r="C251" s="562"/>
      <c r="D251" s="562"/>
      <c r="E251" s="562"/>
      <c r="F251" s="562"/>
      <c r="G251" s="562"/>
      <c r="H251" s="562"/>
      <c r="I251" s="562"/>
      <c r="J251" s="562"/>
      <c r="K251" s="562"/>
      <c r="L251" s="562"/>
      <c r="M251" s="562"/>
      <c r="N251" s="562"/>
      <c r="O251" s="562"/>
      <c r="P251" s="562"/>
      <c r="Q251" s="562"/>
      <c r="R251" s="562"/>
      <c r="S251" s="562"/>
      <c r="T251" s="562"/>
      <c r="U251" s="562"/>
      <c r="V251" s="562"/>
      <c r="W251" s="562"/>
    </row>
    <row r="252" spans="1:23" ht="15.75" x14ac:dyDescent="0.25">
      <c r="A252" s="355" t="s">
        <v>2087</v>
      </c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1:23" ht="13.5" thickBot="1" x14ac:dyDescent="0.25">
      <c r="L253" s="563"/>
      <c r="W253" s="563"/>
    </row>
    <row r="254" spans="1:23" ht="13.5" thickBot="1" x14ac:dyDescent="0.25">
      <c r="A254" s="747" t="s">
        <v>10</v>
      </c>
      <c r="B254" s="1472" t="s">
        <v>420</v>
      </c>
      <c r="C254" s="1473"/>
      <c r="D254" s="1473"/>
      <c r="E254" s="1473"/>
      <c r="F254" s="1473"/>
      <c r="G254" s="1473"/>
      <c r="H254" s="1473"/>
      <c r="I254" s="1473"/>
      <c r="J254" s="1473"/>
      <c r="K254" s="1473"/>
      <c r="L254" s="1474"/>
      <c r="M254" s="1472" t="s">
        <v>421</v>
      </c>
      <c r="N254" s="1473"/>
      <c r="O254" s="1473"/>
      <c r="P254" s="1473"/>
      <c r="Q254" s="1473"/>
      <c r="R254" s="1473"/>
      <c r="S254" s="1473"/>
      <c r="T254" s="1473"/>
      <c r="U254" s="1473"/>
      <c r="V254" s="1473"/>
      <c r="W254" s="1474"/>
    </row>
    <row r="255" spans="1:23" ht="135" thickBot="1" x14ac:dyDescent="0.25">
      <c r="A255" s="748" t="s">
        <v>9</v>
      </c>
      <c r="B255" s="749" t="s">
        <v>347</v>
      </c>
      <c r="C255" s="750" t="s">
        <v>134</v>
      </c>
      <c r="D255" s="751" t="s">
        <v>301</v>
      </c>
      <c r="E255" s="751" t="s">
        <v>298</v>
      </c>
      <c r="F255" s="751" t="s">
        <v>303</v>
      </c>
      <c r="G255" s="751" t="s">
        <v>304</v>
      </c>
      <c r="H255" s="751" t="s">
        <v>305</v>
      </c>
      <c r="I255" s="751" t="s">
        <v>312</v>
      </c>
      <c r="J255" s="752" t="s">
        <v>307</v>
      </c>
      <c r="K255" s="753" t="s">
        <v>309</v>
      </c>
      <c r="L255" s="754" t="s">
        <v>311</v>
      </c>
      <c r="M255" s="749" t="s">
        <v>347</v>
      </c>
      <c r="N255" s="750" t="s">
        <v>134</v>
      </c>
      <c r="O255" s="751" t="s">
        <v>301</v>
      </c>
      <c r="P255" s="751" t="s">
        <v>298</v>
      </c>
      <c r="Q255" s="751" t="s">
        <v>303</v>
      </c>
      <c r="R255" s="751" t="s">
        <v>304</v>
      </c>
      <c r="S255" s="751" t="s">
        <v>305</v>
      </c>
      <c r="T255" s="751" t="s">
        <v>312</v>
      </c>
      <c r="U255" s="752" t="s">
        <v>307</v>
      </c>
      <c r="V255" s="753" t="s">
        <v>309</v>
      </c>
      <c r="W255" s="754" t="s">
        <v>310</v>
      </c>
    </row>
    <row r="256" spans="1:23" x14ac:dyDescent="0.2">
      <c r="A256" s="755"/>
      <c r="B256" s="756"/>
      <c r="C256" s="568"/>
      <c r="D256" s="568"/>
      <c r="E256" s="568"/>
      <c r="F256" s="568"/>
      <c r="G256" s="568"/>
      <c r="H256" s="568"/>
      <c r="I256" s="568"/>
      <c r="J256" s="568"/>
      <c r="K256" s="568"/>
      <c r="L256" s="757"/>
      <c r="M256" s="756"/>
      <c r="N256" s="568"/>
      <c r="O256" s="568"/>
      <c r="P256" s="568"/>
      <c r="Q256" s="568"/>
      <c r="R256" s="568"/>
      <c r="S256" s="568"/>
      <c r="T256" s="568"/>
      <c r="U256" s="568"/>
      <c r="V256" s="568"/>
      <c r="W256" s="757"/>
    </row>
    <row r="257" spans="1:23" x14ac:dyDescent="0.2">
      <c r="A257" s="758" t="s">
        <v>7</v>
      </c>
      <c r="B257" s="759">
        <f>+B263+B262</f>
        <v>2</v>
      </c>
      <c r="C257" s="570">
        <v>0</v>
      </c>
      <c r="D257" s="570">
        <v>1</v>
      </c>
      <c r="E257" s="570">
        <v>0</v>
      </c>
      <c r="F257" s="570">
        <v>0</v>
      </c>
      <c r="G257" s="570">
        <v>0</v>
      </c>
      <c r="H257" s="570">
        <v>0</v>
      </c>
      <c r="I257" s="570">
        <v>0</v>
      </c>
      <c r="J257" s="570">
        <v>0</v>
      </c>
      <c r="K257" s="570">
        <f>+SUM(B257:J257)</f>
        <v>3</v>
      </c>
      <c r="L257" s="760">
        <f>+SUM(L258:L264)</f>
        <v>300443.75999999995</v>
      </c>
      <c r="M257" s="759">
        <f>+M263+M262</f>
        <v>2</v>
      </c>
      <c r="N257" s="570">
        <v>0</v>
      </c>
      <c r="O257" s="570">
        <v>1</v>
      </c>
      <c r="P257" s="570">
        <v>0</v>
      </c>
      <c r="Q257" s="570">
        <v>0</v>
      </c>
      <c r="R257" s="570">
        <v>0</v>
      </c>
      <c r="S257" s="570">
        <v>0</v>
      </c>
      <c r="T257" s="570">
        <v>0</v>
      </c>
      <c r="U257" s="570">
        <v>0</v>
      </c>
      <c r="V257" s="570">
        <f>+SUM(M257:U257)</f>
        <v>3</v>
      </c>
      <c r="W257" s="760">
        <f>+SUM(W258:W264)</f>
        <v>300443.75999999995</v>
      </c>
    </row>
    <row r="258" spans="1:23" x14ac:dyDescent="0.2">
      <c r="A258" s="761" t="s">
        <v>1444</v>
      </c>
      <c r="B258" s="762">
        <v>0</v>
      </c>
      <c r="C258" s="763">
        <v>0</v>
      </c>
      <c r="D258" s="763">
        <v>1</v>
      </c>
      <c r="E258" s="763">
        <v>0</v>
      </c>
      <c r="F258" s="763">
        <v>0</v>
      </c>
      <c r="G258" s="763">
        <v>0</v>
      </c>
      <c r="H258" s="763">
        <v>0</v>
      </c>
      <c r="I258" s="763">
        <v>0</v>
      </c>
      <c r="J258" s="763">
        <v>0</v>
      </c>
      <c r="K258" s="763">
        <f>+SUM(B258:J258)</f>
        <v>1</v>
      </c>
      <c r="L258" s="764">
        <v>153089.79999999999</v>
      </c>
      <c r="M258" s="762">
        <v>0</v>
      </c>
      <c r="N258" s="763">
        <v>0</v>
      </c>
      <c r="O258" s="763">
        <v>1</v>
      </c>
      <c r="P258" s="763">
        <v>0</v>
      </c>
      <c r="Q258" s="763">
        <v>0</v>
      </c>
      <c r="R258" s="763">
        <v>0</v>
      </c>
      <c r="S258" s="763">
        <v>0</v>
      </c>
      <c r="T258" s="763">
        <v>0</v>
      </c>
      <c r="U258" s="763">
        <v>0</v>
      </c>
      <c r="V258" s="763">
        <f>+SUM(M258:U258)</f>
        <v>1</v>
      </c>
      <c r="W258" s="764">
        <v>153089.79999999999</v>
      </c>
    </row>
    <row r="259" spans="1:23" x14ac:dyDescent="0.2">
      <c r="A259" s="765" t="s">
        <v>1397</v>
      </c>
      <c r="B259" s="756">
        <v>0</v>
      </c>
      <c r="C259" s="568">
        <v>0</v>
      </c>
      <c r="D259" s="568">
        <v>0</v>
      </c>
      <c r="E259" s="568">
        <v>0</v>
      </c>
      <c r="F259" s="568">
        <v>0</v>
      </c>
      <c r="G259" s="568">
        <v>0</v>
      </c>
      <c r="H259" s="568">
        <v>0</v>
      </c>
      <c r="I259" s="568">
        <v>0</v>
      </c>
      <c r="J259" s="568">
        <v>0</v>
      </c>
      <c r="K259" s="568">
        <f>+SUM(B259:J259)</f>
        <v>0</v>
      </c>
      <c r="L259" s="757">
        <v>0</v>
      </c>
      <c r="M259" s="756">
        <v>0</v>
      </c>
      <c r="N259" s="568">
        <v>0</v>
      </c>
      <c r="O259" s="568">
        <v>0</v>
      </c>
      <c r="P259" s="568">
        <v>0</v>
      </c>
      <c r="Q259" s="568">
        <v>0</v>
      </c>
      <c r="R259" s="568">
        <v>0</v>
      </c>
      <c r="S259" s="568">
        <v>0</v>
      </c>
      <c r="T259" s="568">
        <v>0</v>
      </c>
      <c r="U259" s="568">
        <v>0</v>
      </c>
      <c r="V259" s="568">
        <f>+SUM(M259:U259)</f>
        <v>0</v>
      </c>
      <c r="W259" s="757">
        <v>0</v>
      </c>
    </row>
    <row r="260" spans="1:23" x14ac:dyDescent="0.2">
      <c r="A260" s="765" t="s">
        <v>1398</v>
      </c>
      <c r="B260" s="756">
        <v>0</v>
      </c>
      <c r="C260" s="568">
        <v>0</v>
      </c>
      <c r="D260" s="568">
        <v>0</v>
      </c>
      <c r="E260" s="568">
        <v>0</v>
      </c>
      <c r="F260" s="568">
        <v>0</v>
      </c>
      <c r="G260" s="568">
        <v>0</v>
      </c>
      <c r="H260" s="568">
        <v>0</v>
      </c>
      <c r="I260" s="568">
        <v>0</v>
      </c>
      <c r="J260" s="568">
        <v>0</v>
      </c>
      <c r="K260" s="568">
        <f t="shared" ref="K260:K267" si="0">+SUM(B260:J260)</f>
        <v>0</v>
      </c>
      <c r="L260" s="757">
        <v>0</v>
      </c>
      <c r="M260" s="756">
        <v>0</v>
      </c>
      <c r="N260" s="568">
        <v>0</v>
      </c>
      <c r="O260" s="568">
        <v>0</v>
      </c>
      <c r="P260" s="568">
        <v>0</v>
      </c>
      <c r="Q260" s="568">
        <v>0</v>
      </c>
      <c r="R260" s="568">
        <v>0</v>
      </c>
      <c r="S260" s="568">
        <v>0</v>
      </c>
      <c r="T260" s="568">
        <v>0</v>
      </c>
      <c r="U260" s="568">
        <v>0</v>
      </c>
      <c r="V260" s="568">
        <f t="shared" ref="V260:V267" si="1">+SUM(M260:U260)</f>
        <v>0</v>
      </c>
      <c r="W260" s="757">
        <v>0</v>
      </c>
    </row>
    <row r="261" spans="1:23" x14ac:dyDescent="0.2">
      <c r="A261" s="765" t="s">
        <v>1399</v>
      </c>
      <c r="B261" s="756">
        <v>0</v>
      </c>
      <c r="C261" s="568">
        <v>0</v>
      </c>
      <c r="D261" s="568">
        <v>0</v>
      </c>
      <c r="E261" s="568">
        <v>0</v>
      </c>
      <c r="F261" s="568">
        <v>0</v>
      </c>
      <c r="G261" s="568">
        <v>0</v>
      </c>
      <c r="H261" s="568">
        <v>0</v>
      </c>
      <c r="I261" s="568">
        <v>0</v>
      </c>
      <c r="J261" s="568">
        <v>0</v>
      </c>
      <c r="K261" s="568">
        <f t="shared" si="0"/>
        <v>0</v>
      </c>
      <c r="L261" s="757">
        <v>0</v>
      </c>
      <c r="M261" s="756">
        <v>0</v>
      </c>
      <c r="N261" s="568">
        <v>0</v>
      </c>
      <c r="O261" s="568">
        <v>0</v>
      </c>
      <c r="P261" s="568">
        <v>0</v>
      </c>
      <c r="Q261" s="568">
        <v>0</v>
      </c>
      <c r="R261" s="568">
        <v>0</v>
      </c>
      <c r="S261" s="568">
        <v>0</v>
      </c>
      <c r="T261" s="568">
        <v>0</v>
      </c>
      <c r="U261" s="568">
        <v>0</v>
      </c>
      <c r="V261" s="568">
        <f t="shared" si="1"/>
        <v>0</v>
      </c>
      <c r="W261" s="757">
        <v>0</v>
      </c>
    </row>
    <row r="262" spans="1:23" x14ac:dyDescent="0.2">
      <c r="A262" s="765" t="s">
        <v>1400</v>
      </c>
      <c r="B262" s="756">
        <v>1</v>
      </c>
      <c r="C262" s="568">
        <v>0</v>
      </c>
      <c r="D262" s="568">
        <v>0</v>
      </c>
      <c r="E262" s="568">
        <v>0</v>
      </c>
      <c r="F262" s="568">
        <v>0</v>
      </c>
      <c r="G262" s="568">
        <v>0</v>
      </c>
      <c r="H262" s="568">
        <v>0</v>
      </c>
      <c r="I262" s="568">
        <v>0</v>
      </c>
      <c r="J262" s="568">
        <v>0</v>
      </c>
      <c r="K262" s="568">
        <f t="shared" si="0"/>
        <v>1</v>
      </c>
      <c r="L262" s="757">
        <v>86036.92</v>
      </c>
      <c r="M262" s="756">
        <v>1</v>
      </c>
      <c r="N262" s="568">
        <v>0</v>
      </c>
      <c r="O262" s="568">
        <v>0</v>
      </c>
      <c r="P262" s="568">
        <v>0</v>
      </c>
      <c r="Q262" s="568">
        <v>0</v>
      </c>
      <c r="R262" s="568">
        <v>0</v>
      </c>
      <c r="S262" s="568">
        <v>0</v>
      </c>
      <c r="T262" s="568">
        <v>0</v>
      </c>
      <c r="U262" s="568">
        <v>0</v>
      </c>
      <c r="V262" s="568">
        <f t="shared" si="1"/>
        <v>1</v>
      </c>
      <c r="W262" s="757">
        <v>86036.92</v>
      </c>
    </row>
    <row r="263" spans="1:23" x14ac:dyDescent="0.2">
      <c r="A263" s="765" t="s">
        <v>1401</v>
      </c>
      <c r="B263" s="756">
        <v>1</v>
      </c>
      <c r="C263" s="568">
        <v>0</v>
      </c>
      <c r="D263" s="568">
        <v>0</v>
      </c>
      <c r="E263" s="568">
        <v>0</v>
      </c>
      <c r="F263" s="568">
        <v>0</v>
      </c>
      <c r="G263" s="568">
        <v>0</v>
      </c>
      <c r="H263" s="568">
        <v>0</v>
      </c>
      <c r="I263" s="568">
        <v>0</v>
      </c>
      <c r="J263" s="568">
        <v>0</v>
      </c>
      <c r="K263" s="568">
        <f t="shared" si="0"/>
        <v>1</v>
      </c>
      <c r="L263" s="757">
        <v>61317.04</v>
      </c>
      <c r="M263" s="756">
        <v>1</v>
      </c>
      <c r="N263" s="568">
        <v>0</v>
      </c>
      <c r="O263" s="568">
        <v>0</v>
      </c>
      <c r="P263" s="568">
        <v>0</v>
      </c>
      <c r="Q263" s="568">
        <v>0</v>
      </c>
      <c r="R263" s="568">
        <v>0</v>
      </c>
      <c r="S263" s="568">
        <v>0</v>
      </c>
      <c r="T263" s="568">
        <v>0</v>
      </c>
      <c r="U263" s="568">
        <v>0</v>
      </c>
      <c r="V263" s="568">
        <f t="shared" si="1"/>
        <v>1</v>
      </c>
      <c r="W263" s="757">
        <v>61317.04</v>
      </c>
    </row>
    <row r="264" spans="1:23" x14ac:dyDescent="0.2">
      <c r="A264" s="765" t="s">
        <v>1402</v>
      </c>
      <c r="B264" s="756">
        <v>0</v>
      </c>
      <c r="C264" s="568">
        <v>0</v>
      </c>
      <c r="D264" s="568">
        <v>0</v>
      </c>
      <c r="E264" s="568">
        <v>0</v>
      </c>
      <c r="F264" s="568">
        <v>0</v>
      </c>
      <c r="G264" s="568">
        <v>0</v>
      </c>
      <c r="H264" s="568">
        <v>0</v>
      </c>
      <c r="I264" s="568">
        <v>0</v>
      </c>
      <c r="J264" s="568">
        <v>0</v>
      </c>
      <c r="K264" s="568">
        <f t="shared" si="0"/>
        <v>0</v>
      </c>
      <c r="L264" s="757">
        <v>0</v>
      </c>
      <c r="M264" s="756">
        <v>0</v>
      </c>
      <c r="N264" s="568">
        <v>0</v>
      </c>
      <c r="O264" s="568">
        <v>0</v>
      </c>
      <c r="P264" s="568">
        <v>0</v>
      </c>
      <c r="Q264" s="568">
        <v>0</v>
      </c>
      <c r="R264" s="568">
        <v>0</v>
      </c>
      <c r="S264" s="568">
        <v>0</v>
      </c>
      <c r="T264" s="568">
        <v>0</v>
      </c>
      <c r="U264" s="568">
        <v>0</v>
      </c>
      <c r="V264" s="568">
        <f t="shared" si="1"/>
        <v>0</v>
      </c>
      <c r="W264" s="757">
        <v>0</v>
      </c>
    </row>
    <row r="265" spans="1:23" x14ac:dyDescent="0.2">
      <c r="A265" s="765" t="s">
        <v>13</v>
      </c>
      <c r="B265" s="756">
        <v>0</v>
      </c>
      <c r="C265" s="568">
        <v>0</v>
      </c>
      <c r="D265" s="568">
        <v>0</v>
      </c>
      <c r="E265" s="568">
        <v>0</v>
      </c>
      <c r="F265" s="568">
        <v>0</v>
      </c>
      <c r="G265" s="568">
        <v>0</v>
      </c>
      <c r="H265" s="568">
        <v>0</v>
      </c>
      <c r="I265" s="568">
        <v>0</v>
      </c>
      <c r="J265" s="568">
        <v>0</v>
      </c>
      <c r="K265" s="568">
        <f t="shared" si="0"/>
        <v>0</v>
      </c>
      <c r="L265" s="757">
        <v>0</v>
      </c>
      <c r="M265" s="756">
        <v>0</v>
      </c>
      <c r="N265" s="568">
        <v>0</v>
      </c>
      <c r="O265" s="568">
        <v>0</v>
      </c>
      <c r="P265" s="568">
        <v>0</v>
      </c>
      <c r="Q265" s="568">
        <v>0</v>
      </c>
      <c r="R265" s="568">
        <v>0</v>
      </c>
      <c r="S265" s="568">
        <v>0</v>
      </c>
      <c r="T265" s="568">
        <v>0</v>
      </c>
      <c r="U265" s="568">
        <v>0</v>
      </c>
      <c r="V265" s="568">
        <f t="shared" si="1"/>
        <v>0</v>
      </c>
      <c r="W265" s="757">
        <v>0</v>
      </c>
    </row>
    <row r="266" spans="1:23" x14ac:dyDescent="0.2">
      <c r="A266" s="758" t="s">
        <v>4</v>
      </c>
      <c r="B266" s="759">
        <f>+SUM(B268:B273)</f>
        <v>327</v>
      </c>
      <c r="C266" s="570">
        <v>0</v>
      </c>
      <c r="D266" s="570">
        <v>80</v>
      </c>
      <c r="E266" s="570">
        <v>0</v>
      </c>
      <c r="F266" s="570">
        <v>0</v>
      </c>
      <c r="G266" s="570">
        <v>0</v>
      </c>
      <c r="H266" s="570">
        <v>0</v>
      </c>
      <c r="I266" s="570">
        <v>0</v>
      </c>
      <c r="J266" s="570">
        <v>0</v>
      </c>
      <c r="K266" s="570">
        <f t="shared" si="0"/>
        <v>407</v>
      </c>
      <c r="L266" s="760">
        <f>+SUM(L267:L273)</f>
        <v>26470731.32</v>
      </c>
      <c r="M266" s="759">
        <f>+SUM(M268:M273)</f>
        <v>327</v>
      </c>
      <c r="N266" s="570">
        <v>0</v>
      </c>
      <c r="O266" s="570">
        <v>80</v>
      </c>
      <c r="P266" s="570">
        <v>0</v>
      </c>
      <c r="Q266" s="570">
        <v>0</v>
      </c>
      <c r="R266" s="570">
        <v>0</v>
      </c>
      <c r="S266" s="570">
        <v>0</v>
      </c>
      <c r="T266" s="570">
        <v>0</v>
      </c>
      <c r="U266" s="570">
        <v>0</v>
      </c>
      <c r="V266" s="570">
        <f t="shared" si="1"/>
        <v>407</v>
      </c>
      <c r="W266" s="760">
        <f>+SUM(W267:W273)</f>
        <v>26470731.32</v>
      </c>
    </row>
    <row r="267" spans="1:23" x14ac:dyDescent="0.2">
      <c r="A267" s="761" t="s">
        <v>1444</v>
      </c>
      <c r="B267" s="762">
        <v>0</v>
      </c>
      <c r="C267" s="763">
        <v>0</v>
      </c>
      <c r="D267" s="763">
        <v>80</v>
      </c>
      <c r="E267" s="763">
        <v>0</v>
      </c>
      <c r="F267" s="763">
        <v>0</v>
      </c>
      <c r="G267" s="763">
        <v>0</v>
      </c>
      <c r="H267" s="763">
        <v>0</v>
      </c>
      <c r="I267" s="763">
        <v>0</v>
      </c>
      <c r="J267" s="763">
        <v>0</v>
      </c>
      <c r="K267" s="763">
        <f t="shared" si="0"/>
        <v>80</v>
      </c>
      <c r="L267" s="764">
        <v>3883184</v>
      </c>
      <c r="M267" s="762">
        <v>0</v>
      </c>
      <c r="N267" s="763">
        <v>0</v>
      </c>
      <c r="O267" s="763">
        <v>80</v>
      </c>
      <c r="P267" s="763">
        <v>0</v>
      </c>
      <c r="Q267" s="763">
        <v>0</v>
      </c>
      <c r="R267" s="763">
        <v>0</v>
      </c>
      <c r="S267" s="763">
        <v>0</v>
      </c>
      <c r="T267" s="763">
        <v>0</v>
      </c>
      <c r="U267" s="763">
        <v>0</v>
      </c>
      <c r="V267" s="763">
        <f t="shared" si="1"/>
        <v>80</v>
      </c>
      <c r="W267" s="764">
        <v>3883184</v>
      </c>
    </row>
    <row r="268" spans="1:23" x14ac:dyDescent="0.2">
      <c r="A268" s="765" t="s">
        <v>14</v>
      </c>
      <c r="B268" s="756">
        <v>3</v>
      </c>
      <c r="C268" s="568">
        <v>0</v>
      </c>
      <c r="D268" s="568">
        <v>0</v>
      </c>
      <c r="E268" s="568">
        <v>0</v>
      </c>
      <c r="F268" s="568">
        <v>0</v>
      </c>
      <c r="G268" s="568">
        <v>0</v>
      </c>
      <c r="H268" s="568">
        <v>0</v>
      </c>
      <c r="I268" s="568">
        <v>0</v>
      </c>
      <c r="J268" s="568">
        <v>0</v>
      </c>
      <c r="K268" s="568">
        <v>0</v>
      </c>
      <c r="L268" s="757">
        <v>176280.6</v>
      </c>
      <c r="M268" s="756">
        <v>3</v>
      </c>
      <c r="N268" s="568">
        <v>0</v>
      </c>
      <c r="O268" s="568">
        <v>0</v>
      </c>
      <c r="P268" s="568">
        <v>0</v>
      </c>
      <c r="Q268" s="568">
        <v>0</v>
      </c>
      <c r="R268" s="568">
        <v>0</v>
      </c>
      <c r="S268" s="568">
        <v>0</v>
      </c>
      <c r="T268" s="568">
        <v>0</v>
      </c>
      <c r="U268" s="568">
        <v>0</v>
      </c>
      <c r="V268" s="568">
        <v>0</v>
      </c>
      <c r="W268" s="757">
        <v>176280.6</v>
      </c>
    </row>
    <row r="269" spans="1:23" x14ac:dyDescent="0.2">
      <c r="A269" s="765" t="s">
        <v>1403</v>
      </c>
      <c r="B269" s="756">
        <v>30</v>
      </c>
      <c r="C269" s="568">
        <v>0</v>
      </c>
      <c r="D269" s="568">
        <v>0</v>
      </c>
      <c r="E269" s="568">
        <v>0</v>
      </c>
      <c r="F269" s="568">
        <v>0</v>
      </c>
      <c r="G269" s="568">
        <v>0</v>
      </c>
      <c r="H269" s="568">
        <v>0</v>
      </c>
      <c r="I269" s="568">
        <v>0</v>
      </c>
      <c r="J269" s="568">
        <v>0</v>
      </c>
      <c r="K269" s="568">
        <v>0</v>
      </c>
      <c r="L269" s="757">
        <v>2454119.04</v>
      </c>
      <c r="M269" s="756">
        <v>30</v>
      </c>
      <c r="N269" s="568">
        <v>0</v>
      </c>
      <c r="O269" s="568">
        <v>0</v>
      </c>
      <c r="P269" s="568">
        <v>0</v>
      </c>
      <c r="Q269" s="568">
        <v>0</v>
      </c>
      <c r="R269" s="568">
        <v>0</v>
      </c>
      <c r="S269" s="568">
        <v>0</v>
      </c>
      <c r="T269" s="568">
        <v>0</v>
      </c>
      <c r="U269" s="568">
        <v>0</v>
      </c>
      <c r="V269" s="568">
        <v>0</v>
      </c>
      <c r="W269" s="757">
        <v>2454119.04</v>
      </c>
    </row>
    <row r="270" spans="1:23" x14ac:dyDescent="0.2">
      <c r="A270" s="765" t="s">
        <v>1404</v>
      </c>
      <c r="B270" s="756">
        <v>35</v>
      </c>
      <c r="C270" s="568">
        <v>0</v>
      </c>
      <c r="D270" s="568">
        <v>0</v>
      </c>
      <c r="E270" s="568">
        <v>0</v>
      </c>
      <c r="F270" s="568">
        <v>0</v>
      </c>
      <c r="G270" s="568">
        <v>0</v>
      </c>
      <c r="H270" s="568">
        <v>0</v>
      </c>
      <c r="I270" s="568">
        <v>0</v>
      </c>
      <c r="J270" s="568">
        <v>0</v>
      </c>
      <c r="K270" s="568">
        <v>0</v>
      </c>
      <c r="L270" s="757">
        <v>2145496.4</v>
      </c>
      <c r="M270" s="756">
        <v>35</v>
      </c>
      <c r="N270" s="568">
        <v>0</v>
      </c>
      <c r="O270" s="568">
        <v>0</v>
      </c>
      <c r="P270" s="568">
        <v>0</v>
      </c>
      <c r="Q270" s="568">
        <v>0</v>
      </c>
      <c r="R270" s="568">
        <v>0</v>
      </c>
      <c r="S270" s="568">
        <v>0</v>
      </c>
      <c r="T270" s="568">
        <v>0</v>
      </c>
      <c r="U270" s="568">
        <v>0</v>
      </c>
      <c r="V270" s="568">
        <v>0</v>
      </c>
      <c r="W270" s="757">
        <v>2145496.4</v>
      </c>
    </row>
    <row r="271" spans="1:23" x14ac:dyDescent="0.2">
      <c r="A271" s="765" t="s">
        <v>1405</v>
      </c>
      <c r="B271" s="756">
        <v>41</v>
      </c>
      <c r="C271" s="568">
        <v>0</v>
      </c>
      <c r="D271" s="568">
        <v>0</v>
      </c>
      <c r="E271" s="568">
        <v>0</v>
      </c>
      <c r="F271" s="568">
        <v>0</v>
      </c>
      <c r="G271" s="568">
        <v>0</v>
      </c>
      <c r="H271" s="568">
        <v>0</v>
      </c>
      <c r="I271" s="568">
        <v>0</v>
      </c>
      <c r="J271" s="568">
        <v>0</v>
      </c>
      <c r="K271" s="568">
        <v>0</v>
      </c>
      <c r="L271" s="757">
        <v>3654024.68</v>
      </c>
      <c r="M271" s="756">
        <v>41</v>
      </c>
      <c r="N271" s="568">
        <v>0</v>
      </c>
      <c r="O271" s="568">
        <v>0</v>
      </c>
      <c r="P271" s="568">
        <v>0</v>
      </c>
      <c r="Q271" s="568">
        <v>0</v>
      </c>
      <c r="R271" s="568">
        <v>0</v>
      </c>
      <c r="S271" s="568">
        <v>0</v>
      </c>
      <c r="T271" s="568">
        <v>0</v>
      </c>
      <c r="U271" s="568">
        <v>0</v>
      </c>
      <c r="V271" s="568">
        <v>0</v>
      </c>
      <c r="W271" s="757">
        <v>3654024.68</v>
      </c>
    </row>
    <row r="272" spans="1:23" x14ac:dyDescent="0.2">
      <c r="A272" s="765" t="s">
        <v>16</v>
      </c>
      <c r="B272" s="756">
        <v>52</v>
      </c>
      <c r="C272" s="568">
        <v>0</v>
      </c>
      <c r="D272" s="568">
        <v>0</v>
      </c>
      <c r="E272" s="568">
        <v>0</v>
      </c>
      <c r="F272" s="568">
        <v>0</v>
      </c>
      <c r="G272" s="568">
        <v>0</v>
      </c>
      <c r="H272" s="568">
        <v>0</v>
      </c>
      <c r="I272" s="568">
        <v>0</v>
      </c>
      <c r="J272" s="568">
        <v>0</v>
      </c>
      <c r="K272" s="568">
        <v>0</v>
      </c>
      <c r="L272" s="757">
        <v>3406544.32</v>
      </c>
      <c r="M272" s="756">
        <v>52</v>
      </c>
      <c r="N272" s="568">
        <v>0</v>
      </c>
      <c r="O272" s="568">
        <v>0</v>
      </c>
      <c r="P272" s="568">
        <v>0</v>
      </c>
      <c r="Q272" s="568">
        <v>0</v>
      </c>
      <c r="R272" s="568">
        <v>0</v>
      </c>
      <c r="S272" s="568">
        <v>0</v>
      </c>
      <c r="T272" s="568">
        <v>0</v>
      </c>
      <c r="U272" s="568">
        <v>0</v>
      </c>
      <c r="V272" s="568">
        <v>0</v>
      </c>
      <c r="W272" s="757">
        <v>3406544.32</v>
      </c>
    </row>
    <row r="273" spans="1:23" x14ac:dyDescent="0.2">
      <c r="A273" s="765" t="s">
        <v>1406</v>
      </c>
      <c r="B273" s="756">
        <v>166</v>
      </c>
      <c r="C273" s="568">
        <v>0</v>
      </c>
      <c r="D273" s="568">
        <v>0</v>
      </c>
      <c r="E273" s="568">
        <v>0</v>
      </c>
      <c r="F273" s="568">
        <v>0</v>
      </c>
      <c r="G273" s="568">
        <v>0</v>
      </c>
      <c r="H273" s="568">
        <v>0</v>
      </c>
      <c r="I273" s="568">
        <v>0</v>
      </c>
      <c r="J273" s="568">
        <v>0</v>
      </c>
      <c r="K273" s="568">
        <v>0</v>
      </c>
      <c r="L273" s="757">
        <v>10751082.279999999</v>
      </c>
      <c r="M273" s="756">
        <v>166</v>
      </c>
      <c r="N273" s="568">
        <v>0</v>
      </c>
      <c r="O273" s="568">
        <v>0</v>
      </c>
      <c r="P273" s="568">
        <v>0</v>
      </c>
      <c r="Q273" s="568">
        <v>0</v>
      </c>
      <c r="R273" s="568">
        <v>0</v>
      </c>
      <c r="S273" s="568">
        <v>0</v>
      </c>
      <c r="T273" s="568">
        <v>0</v>
      </c>
      <c r="U273" s="568">
        <v>0</v>
      </c>
      <c r="V273" s="568">
        <v>0</v>
      </c>
      <c r="W273" s="757">
        <v>10751082.279999999</v>
      </c>
    </row>
    <row r="274" spans="1:23" x14ac:dyDescent="0.2">
      <c r="A274" s="758" t="s">
        <v>5</v>
      </c>
      <c r="B274" s="766">
        <f>+SUM(B276:B281)</f>
        <v>194</v>
      </c>
      <c r="C274" s="570">
        <v>0</v>
      </c>
      <c r="D274" s="767">
        <v>89</v>
      </c>
      <c r="E274" s="767">
        <v>0</v>
      </c>
      <c r="F274" s="767">
        <v>0</v>
      </c>
      <c r="G274" s="767">
        <v>0</v>
      </c>
      <c r="H274" s="767">
        <v>0</v>
      </c>
      <c r="I274" s="767">
        <v>0</v>
      </c>
      <c r="J274" s="767">
        <v>0</v>
      </c>
      <c r="K274" s="570">
        <f t="shared" ref="K274:K275" si="2">+SUM(B274:J274)</f>
        <v>283</v>
      </c>
      <c r="L274" s="760">
        <f>+SUM(L275:L281)</f>
        <v>8369097.7599999998</v>
      </c>
      <c r="M274" s="766">
        <f>+SUM(M276:M281)</f>
        <v>194</v>
      </c>
      <c r="N274" s="570">
        <v>0</v>
      </c>
      <c r="O274" s="767">
        <v>89</v>
      </c>
      <c r="P274" s="767">
        <v>0</v>
      </c>
      <c r="Q274" s="767">
        <v>0</v>
      </c>
      <c r="R274" s="767">
        <v>0</v>
      </c>
      <c r="S274" s="767">
        <v>0</v>
      </c>
      <c r="T274" s="767">
        <v>0</v>
      </c>
      <c r="U274" s="767">
        <v>0</v>
      </c>
      <c r="V274" s="570">
        <f t="shared" ref="V274:V275" si="3">+SUM(M274:U274)</f>
        <v>283</v>
      </c>
      <c r="W274" s="760">
        <f>+SUM(W275:W281)</f>
        <v>8369097.7599999998</v>
      </c>
    </row>
    <row r="275" spans="1:23" x14ac:dyDescent="0.2">
      <c r="A275" s="761" t="s">
        <v>1444</v>
      </c>
      <c r="B275" s="762">
        <v>0</v>
      </c>
      <c r="C275" s="763">
        <v>0</v>
      </c>
      <c r="D275" s="763">
        <v>89</v>
      </c>
      <c r="E275" s="763">
        <v>0</v>
      </c>
      <c r="F275" s="763">
        <v>0</v>
      </c>
      <c r="G275" s="763">
        <v>0</v>
      </c>
      <c r="H275" s="763">
        <v>0</v>
      </c>
      <c r="I275" s="763">
        <v>0</v>
      </c>
      <c r="J275" s="763">
        <v>0</v>
      </c>
      <c r="K275" s="763">
        <f t="shared" si="2"/>
        <v>89</v>
      </c>
      <c r="L275" s="764">
        <v>2056232</v>
      </c>
      <c r="M275" s="762">
        <v>0</v>
      </c>
      <c r="N275" s="763">
        <v>0</v>
      </c>
      <c r="O275" s="763">
        <v>89</v>
      </c>
      <c r="P275" s="763">
        <v>0</v>
      </c>
      <c r="Q275" s="763">
        <v>0</v>
      </c>
      <c r="R275" s="763">
        <v>0</v>
      </c>
      <c r="S275" s="763">
        <v>0</v>
      </c>
      <c r="T275" s="763">
        <v>0</v>
      </c>
      <c r="U275" s="763">
        <v>0</v>
      </c>
      <c r="V275" s="763">
        <f t="shared" si="3"/>
        <v>89</v>
      </c>
      <c r="W275" s="764">
        <v>2056232</v>
      </c>
    </row>
    <row r="276" spans="1:23" x14ac:dyDescent="0.2">
      <c r="A276" s="765" t="s">
        <v>17</v>
      </c>
      <c r="B276" s="756">
        <v>10</v>
      </c>
      <c r="C276" s="568">
        <v>0</v>
      </c>
      <c r="D276" s="568">
        <v>0</v>
      </c>
      <c r="E276" s="568">
        <v>0</v>
      </c>
      <c r="F276" s="568">
        <v>0</v>
      </c>
      <c r="G276" s="568">
        <v>0</v>
      </c>
      <c r="H276" s="568">
        <v>0</v>
      </c>
      <c r="I276" s="568">
        <v>0</v>
      </c>
      <c r="J276" s="568">
        <v>0</v>
      </c>
      <c r="K276" s="568">
        <v>0</v>
      </c>
      <c r="L276" s="757">
        <v>278141.2</v>
      </c>
      <c r="M276" s="756">
        <v>10</v>
      </c>
      <c r="N276" s="568">
        <v>0</v>
      </c>
      <c r="O276" s="568">
        <v>0</v>
      </c>
      <c r="P276" s="568">
        <v>0</v>
      </c>
      <c r="Q276" s="568">
        <v>0</v>
      </c>
      <c r="R276" s="568">
        <v>0</v>
      </c>
      <c r="S276" s="568">
        <v>0</v>
      </c>
      <c r="T276" s="568">
        <v>0</v>
      </c>
      <c r="U276" s="568">
        <v>0</v>
      </c>
      <c r="V276" s="568">
        <v>0</v>
      </c>
      <c r="W276" s="757">
        <v>278141.2</v>
      </c>
    </row>
    <row r="277" spans="1:23" x14ac:dyDescent="0.2">
      <c r="A277" s="765" t="s">
        <v>1436</v>
      </c>
      <c r="B277" s="756">
        <v>13</v>
      </c>
      <c r="C277" s="568">
        <v>0</v>
      </c>
      <c r="D277" s="568">
        <v>0</v>
      </c>
      <c r="E277" s="568">
        <v>0</v>
      </c>
      <c r="F277" s="568">
        <v>0</v>
      </c>
      <c r="G277" s="568">
        <v>0</v>
      </c>
      <c r="H277" s="568">
        <v>0</v>
      </c>
      <c r="I277" s="568">
        <v>0</v>
      </c>
      <c r="J277" s="568">
        <v>0</v>
      </c>
      <c r="K277" s="568">
        <v>0</v>
      </c>
      <c r="L277" s="757">
        <v>423605.65</v>
      </c>
      <c r="M277" s="756">
        <v>13</v>
      </c>
      <c r="N277" s="568">
        <v>0</v>
      </c>
      <c r="O277" s="568">
        <v>0</v>
      </c>
      <c r="P277" s="568">
        <v>0</v>
      </c>
      <c r="Q277" s="568">
        <v>0</v>
      </c>
      <c r="R277" s="568">
        <v>0</v>
      </c>
      <c r="S277" s="568">
        <v>0</v>
      </c>
      <c r="T277" s="568">
        <v>0</v>
      </c>
      <c r="U277" s="568">
        <v>0</v>
      </c>
      <c r="V277" s="568">
        <v>0</v>
      </c>
      <c r="W277" s="757">
        <v>423605.65</v>
      </c>
    </row>
    <row r="278" spans="1:23" x14ac:dyDescent="0.2">
      <c r="A278" s="765" t="s">
        <v>1437</v>
      </c>
      <c r="B278" s="756">
        <v>74</v>
      </c>
      <c r="C278" s="568">
        <v>0</v>
      </c>
      <c r="D278" s="568">
        <v>0</v>
      </c>
      <c r="E278" s="568">
        <v>0</v>
      </c>
      <c r="F278" s="568">
        <v>0</v>
      </c>
      <c r="G278" s="568">
        <v>0</v>
      </c>
      <c r="H278" s="568">
        <v>0</v>
      </c>
      <c r="I278" s="568">
        <v>0</v>
      </c>
      <c r="J278" s="568">
        <v>0</v>
      </c>
      <c r="K278" s="568">
        <v>0</v>
      </c>
      <c r="L278" s="757">
        <v>2537174.27</v>
      </c>
      <c r="M278" s="756">
        <v>74</v>
      </c>
      <c r="N278" s="568">
        <v>0</v>
      </c>
      <c r="O278" s="568">
        <v>0</v>
      </c>
      <c r="P278" s="568">
        <v>0</v>
      </c>
      <c r="Q278" s="568">
        <v>0</v>
      </c>
      <c r="R278" s="568">
        <v>0</v>
      </c>
      <c r="S278" s="568">
        <v>0</v>
      </c>
      <c r="T278" s="568">
        <v>0</v>
      </c>
      <c r="U278" s="568">
        <v>0</v>
      </c>
      <c r="V278" s="568">
        <v>0</v>
      </c>
      <c r="W278" s="757">
        <v>2537174.27</v>
      </c>
    </row>
    <row r="279" spans="1:23" x14ac:dyDescent="0.2">
      <c r="A279" s="765" t="s">
        <v>1438</v>
      </c>
      <c r="B279" s="756">
        <v>19</v>
      </c>
      <c r="C279" s="568">
        <v>0</v>
      </c>
      <c r="D279" s="568">
        <v>0</v>
      </c>
      <c r="E279" s="568">
        <v>0</v>
      </c>
      <c r="F279" s="568">
        <v>0</v>
      </c>
      <c r="G279" s="568">
        <v>0</v>
      </c>
      <c r="H279" s="568">
        <v>0</v>
      </c>
      <c r="I279" s="568">
        <v>0</v>
      </c>
      <c r="J279" s="568">
        <v>0</v>
      </c>
      <c r="K279" s="568">
        <v>0</v>
      </c>
      <c r="L279" s="757">
        <v>517061.8</v>
      </c>
      <c r="M279" s="756">
        <v>19</v>
      </c>
      <c r="N279" s="568">
        <v>0</v>
      </c>
      <c r="O279" s="568">
        <v>0</v>
      </c>
      <c r="P279" s="568">
        <v>0</v>
      </c>
      <c r="Q279" s="568">
        <v>0</v>
      </c>
      <c r="R279" s="568">
        <v>0</v>
      </c>
      <c r="S279" s="568">
        <v>0</v>
      </c>
      <c r="T279" s="568">
        <v>0</v>
      </c>
      <c r="U279" s="568">
        <v>0</v>
      </c>
      <c r="V279" s="568">
        <v>0</v>
      </c>
      <c r="W279" s="757">
        <v>517061.8</v>
      </c>
    </row>
    <row r="280" spans="1:23" x14ac:dyDescent="0.2">
      <c r="A280" s="765" t="s">
        <v>18</v>
      </c>
      <c r="B280" s="756">
        <v>7</v>
      </c>
      <c r="C280" s="568">
        <v>0</v>
      </c>
      <c r="D280" s="568">
        <v>0</v>
      </c>
      <c r="E280" s="568">
        <v>0</v>
      </c>
      <c r="F280" s="568">
        <v>0</v>
      </c>
      <c r="G280" s="568">
        <v>0</v>
      </c>
      <c r="H280" s="568">
        <v>0</v>
      </c>
      <c r="I280" s="568">
        <v>0</v>
      </c>
      <c r="J280" s="568">
        <v>0</v>
      </c>
      <c r="K280" s="568">
        <v>0</v>
      </c>
      <c r="L280" s="757">
        <v>225439</v>
      </c>
      <c r="M280" s="756">
        <v>7</v>
      </c>
      <c r="N280" s="568">
        <v>0</v>
      </c>
      <c r="O280" s="568">
        <v>0</v>
      </c>
      <c r="P280" s="568">
        <v>0</v>
      </c>
      <c r="Q280" s="568">
        <v>0</v>
      </c>
      <c r="R280" s="568">
        <v>0</v>
      </c>
      <c r="S280" s="568">
        <v>0</v>
      </c>
      <c r="T280" s="568">
        <v>0</v>
      </c>
      <c r="U280" s="568">
        <v>0</v>
      </c>
      <c r="V280" s="568">
        <v>0</v>
      </c>
      <c r="W280" s="757">
        <v>225439</v>
      </c>
    </row>
    <row r="281" spans="1:23" x14ac:dyDescent="0.2">
      <c r="A281" s="765" t="s">
        <v>1439</v>
      </c>
      <c r="B281" s="756">
        <v>71</v>
      </c>
      <c r="C281" s="568">
        <v>0</v>
      </c>
      <c r="D281" s="568">
        <v>0</v>
      </c>
      <c r="E281" s="568">
        <v>0</v>
      </c>
      <c r="F281" s="568">
        <v>0</v>
      </c>
      <c r="G281" s="568">
        <v>0</v>
      </c>
      <c r="H281" s="568">
        <v>0</v>
      </c>
      <c r="I281" s="568">
        <v>0</v>
      </c>
      <c r="J281" s="568">
        <v>0</v>
      </c>
      <c r="K281" s="568">
        <v>0</v>
      </c>
      <c r="L281" s="757">
        <v>2331443.84</v>
      </c>
      <c r="M281" s="756">
        <v>71</v>
      </c>
      <c r="N281" s="568">
        <v>0</v>
      </c>
      <c r="O281" s="568">
        <v>0</v>
      </c>
      <c r="P281" s="568">
        <v>0</v>
      </c>
      <c r="Q281" s="568">
        <v>0</v>
      </c>
      <c r="R281" s="568">
        <v>0</v>
      </c>
      <c r="S281" s="568">
        <v>0</v>
      </c>
      <c r="T281" s="568">
        <v>0</v>
      </c>
      <c r="U281" s="568">
        <v>0</v>
      </c>
      <c r="V281" s="568">
        <v>0</v>
      </c>
      <c r="W281" s="757">
        <v>2331443.84</v>
      </c>
    </row>
    <row r="282" spans="1:23" x14ac:dyDescent="0.2">
      <c r="A282" s="758" t="s">
        <v>6</v>
      </c>
      <c r="B282" s="759">
        <f>+SUM(B284:B289)</f>
        <v>55</v>
      </c>
      <c r="C282" s="570">
        <v>0</v>
      </c>
      <c r="D282" s="767">
        <v>70</v>
      </c>
      <c r="E282" s="570">
        <v>0</v>
      </c>
      <c r="F282" s="570">
        <v>0</v>
      </c>
      <c r="G282" s="570">
        <v>0</v>
      </c>
      <c r="H282" s="570">
        <v>0</v>
      </c>
      <c r="I282" s="570">
        <v>0</v>
      </c>
      <c r="J282" s="570">
        <v>0</v>
      </c>
      <c r="K282" s="570">
        <f t="shared" ref="K282:K283" si="4">+SUM(B282:J282)</f>
        <v>125</v>
      </c>
      <c r="L282" s="760">
        <f>+SUM(L283:L289)</f>
        <v>2988177.56</v>
      </c>
      <c r="M282" s="759">
        <f>+SUM(M284:M289)</f>
        <v>55</v>
      </c>
      <c r="N282" s="570">
        <v>0</v>
      </c>
      <c r="O282" s="767">
        <v>70</v>
      </c>
      <c r="P282" s="570">
        <v>0</v>
      </c>
      <c r="Q282" s="570">
        <v>0</v>
      </c>
      <c r="R282" s="570">
        <v>0</v>
      </c>
      <c r="S282" s="570">
        <v>0</v>
      </c>
      <c r="T282" s="570">
        <v>0</v>
      </c>
      <c r="U282" s="570">
        <v>0</v>
      </c>
      <c r="V282" s="570">
        <f t="shared" ref="V282:V283" si="5">+SUM(M282:U282)</f>
        <v>125</v>
      </c>
      <c r="W282" s="760">
        <f>+SUM(W283:W289)</f>
        <v>2988177.56</v>
      </c>
    </row>
    <row r="283" spans="1:23" x14ac:dyDescent="0.2">
      <c r="A283" s="761" t="s">
        <v>1444</v>
      </c>
      <c r="B283" s="762">
        <v>0</v>
      </c>
      <c r="C283" s="763">
        <v>0</v>
      </c>
      <c r="D283" s="763">
        <v>70</v>
      </c>
      <c r="E283" s="763">
        <v>0</v>
      </c>
      <c r="F283" s="763">
        <v>0</v>
      </c>
      <c r="G283" s="763">
        <v>0</v>
      </c>
      <c r="H283" s="763">
        <v>0</v>
      </c>
      <c r="I283" s="763">
        <v>0</v>
      </c>
      <c r="J283" s="763">
        <v>0</v>
      </c>
      <c r="K283" s="763">
        <f t="shared" si="4"/>
        <v>70</v>
      </c>
      <c r="L283" s="764">
        <v>1321756</v>
      </c>
      <c r="M283" s="762">
        <v>0</v>
      </c>
      <c r="N283" s="763">
        <v>0</v>
      </c>
      <c r="O283" s="763">
        <v>70</v>
      </c>
      <c r="P283" s="763">
        <v>0</v>
      </c>
      <c r="Q283" s="763">
        <v>0</v>
      </c>
      <c r="R283" s="763">
        <v>0</v>
      </c>
      <c r="S283" s="763">
        <v>0</v>
      </c>
      <c r="T283" s="763">
        <v>0</v>
      </c>
      <c r="U283" s="763">
        <v>0</v>
      </c>
      <c r="V283" s="763">
        <f t="shared" si="5"/>
        <v>70</v>
      </c>
      <c r="W283" s="764">
        <v>1321756</v>
      </c>
    </row>
    <row r="284" spans="1:23" x14ac:dyDescent="0.2">
      <c r="A284" s="765" t="s">
        <v>19</v>
      </c>
      <c r="B284" s="756">
        <v>1</v>
      </c>
      <c r="C284" s="568">
        <v>0</v>
      </c>
      <c r="D284" s="568">
        <v>0</v>
      </c>
      <c r="E284" s="568">
        <v>0</v>
      </c>
      <c r="F284" s="568">
        <v>0</v>
      </c>
      <c r="G284" s="568">
        <v>0</v>
      </c>
      <c r="H284" s="568">
        <v>0</v>
      </c>
      <c r="I284" s="568">
        <v>0</v>
      </c>
      <c r="J284" s="568">
        <v>0</v>
      </c>
      <c r="K284" s="568">
        <v>0</v>
      </c>
      <c r="L284" s="757">
        <v>29392.36</v>
      </c>
      <c r="M284" s="756">
        <v>1</v>
      </c>
      <c r="N284" s="568">
        <v>0</v>
      </c>
      <c r="O284" s="568">
        <v>0</v>
      </c>
      <c r="P284" s="568">
        <v>0</v>
      </c>
      <c r="Q284" s="568">
        <v>0</v>
      </c>
      <c r="R284" s="568">
        <v>0</v>
      </c>
      <c r="S284" s="568">
        <v>0</v>
      </c>
      <c r="T284" s="568">
        <v>0</v>
      </c>
      <c r="U284" s="568">
        <v>0</v>
      </c>
      <c r="V284" s="568">
        <v>0</v>
      </c>
      <c r="W284" s="757">
        <v>29392.36</v>
      </c>
    </row>
    <row r="285" spans="1:23" x14ac:dyDescent="0.2">
      <c r="A285" s="765" t="s">
        <v>1440</v>
      </c>
      <c r="B285" s="756">
        <v>14</v>
      </c>
      <c r="C285" s="568">
        <v>0</v>
      </c>
      <c r="D285" s="568">
        <v>0</v>
      </c>
      <c r="E285" s="568">
        <v>0</v>
      </c>
      <c r="F285" s="568">
        <v>0</v>
      </c>
      <c r="G285" s="568">
        <v>0</v>
      </c>
      <c r="H285" s="568">
        <v>0</v>
      </c>
      <c r="I285" s="568">
        <v>0</v>
      </c>
      <c r="J285" s="568">
        <v>0</v>
      </c>
      <c r="K285" s="568">
        <v>0</v>
      </c>
      <c r="L285" s="757">
        <v>413048.12</v>
      </c>
      <c r="M285" s="756">
        <v>14</v>
      </c>
      <c r="N285" s="568">
        <v>0</v>
      </c>
      <c r="O285" s="568">
        <v>0</v>
      </c>
      <c r="P285" s="568">
        <v>0</v>
      </c>
      <c r="Q285" s="568">
        <v>0</v>
      </c>
      <c r="R285" s="568">
        <v>0</v>
      </c>
      <c r="S285" s="568">
        <v>0</v>
      </c>
      <c r="T285" s="568">
        <v>0</v>
      </c>
      <c r="U285" s="568">
        <v>0</v>
      </c>
      <c r="V285" s="568">
        <v>0</v>
      </c>
      <c r="W285" s="757">
        <v>413048.12</v>
      </c>
    </row>
    <row r="286" spans="1:23" x14ac:dyDescent="0.2">
      <c r="A286" s="765" t="s">
        <v>1441</v>
      </c>
      <c r="B286" s="756">
        <v>2</v>
      </c>
      <c r="C286" s="568">
        <v>0</v>
      </c>
      <c r="D286" s="568">
        <v>0</v>
      </c>
      <c r="E286" s="568">
        <v>0</v>
      </c>
      <c r="F286" s="568">
        <v>0</v>
      </c>
      <c r="G286" s="568">
        <v>0</v>
      </c>
      <c r="H286" s="568">
        <v>0</v>
      </c>
      <c r="I286" s="568">
        <v>0</v>
      </c>
      <c r="J286" s="568">
        <v>0</v>
      </c>
      <c r="K286" s="568">
        <v>0</v>
      </c>
      <c r="L286" s="757">
        <v>62770.400000000001</v>
      </c>
      <c r="M286" s="756">
        <v>2</v>
      </c>
      <c r="N286" s="568">
        <v>0</v>
      </c>
      <c r="O286" s="568">
        <v>0</v>
      </c>
      <c r="P286" s="568">
        <v>0</v>
      </c>
      <c r="Q286" s="568">
        <v>0</v>
      </c>
      <c r="R286" s="568">
        <v>0</v>
      </c>
      <c r="S286" s="568">
        <v>0</v>
      </c>
      <c r="T286" s="568">
        <v>0</v>
      </c>
      <c r="U286" s="568">
        <v>0</v>
      </c>
      <c r="V286" s="568">
        <v>0</v>
      </c>
      <c r="W286" s="757">
        <v>62770.400000000001</v>
      </c>
    </row>
    <row r="287" spans="1:23" x14ac:dyDescent="0.2">
      <c r="A287" s="765" t="s">
        <v>1442</v>
      </c>
      <c r="B287" s="756">
        <v>30</v>
      </c>
      <c r="C287" s="568">
        <v>0</v>
      </c>
      <c r="D287" s="568">
        <v>0</v>
      </c>
      <c r="E287" s="568">
        <v>0</v>
      </c>
      <c r="F287" s="568">
        <v>0</v>
      </c>
      <c r="G287" s="568">
        <v>0</v>
      </c>
      <c r="H287" s="568">
        <v>0</v>
      </c>
      <c r="I287" s="568">
        <v>0</v>
      </c>
      <c r="J287" s="568">
        <v>0</v>
      </c>
      <c r="K287" s="568">
        <v>0</v>
      </c>
      <c r="L287" s="757">
        <v>906162.12</v>
      </c>
      <c r="M287" s="756">
        <v>30</v>
      </c>
      <c r="N287" s="568">
        <v>0</v>
      </c>
      <c r="O287" s="568">
        <v>0</v>
      </c>
      <c r="P287" s="568">
        <v>0</v>
      </c>
      <c r="Q287" s="568">
        <v>0</v>
      </c>
      <c r="R287" s="568">
        <v>0</v>
      </c>
      <c r="S287" s="568">
        <v>0</v>
      </c>
      <c r="T287" s="568">
        <v>0</v>
      </c>
      <c r="U287" s="568">
        <v>0</v>
      </c>
      <c r="V287" s="568">
        <v>0</v>
      </c>
      <c r="W287" s="757">
        <v>906162.12</v>
      </c>
    </row>
    <row r="288" spans="1:23" x14ac:dyDescent="0.2">
      <c r="A288" s="765" t="s">
        <v>20</v>
      </c>
      <c r="B288" s="756">
        <v>0</v>
      </c>
      <c r="C288" s="568">
        <v>0</v>
      </c>
      <c r="D288" s="568">
        <v>0</v>
      </c>
      <c r="E288" s="568">
        <v>0</v>
      </c>
      <c r="F288" s="568">
        <v>0</v>
      </c>
      <c r="G288" s="568">
        <v>0</v>
      </c>
      <c r="H288" s="568">
        <v>0</v>
      </c>
      <c r="I288" s="568">
        <v>0</v>
      </c>
      <c r="J288" s="568">
        <v>0</v>
      </c>
      <c r="K288" s="568">
        <v>0</v>
      </c>
      <c r="L288" s="757">
        <v>0</v>
      </c>
      <c r="M288" s="756">
        <v>0</v>
      </c>
      <c r="N288" s="568">
        <v>0</v>
      </c>
      <c r="O288" s="568">
        <v>0</v>
      </c>
      <c r="P288" s="568">
        <v>0</v>
      </c>
      <c r="Q288" s="568">
        <v>0</v>
      </c>
      <c r="R288" s="568">
        <v>0</v>
      </c>
      <c r="S288" s="568">
        <v>0</v>
      </c>
      <c r="T288" s="568">
        <v>0</v>
      </c>
      <c r="U288" s="568">
        <v>0</v>
      </c>
      <c r="V288" s="568">
        <v>0</v>
      </c>
      <c r="W288" s="757">
        <v>0</v>
      </c>
    </row>
    <row r="289" spans="1:24" x14ac:dyDescent="0.2">
      <c r="A289" s="765" t="s">
        <v>1443</v>
      </c>
      <c r="B289" s="756">
        <v>8</v>
      </c>
      <c r="C289" s="568">
        <v>0</v>
      </c>
      <c r="D289" s="568">
        <v>0</v>
      </c>
      <c r="E289" s="568">
        <v>0</v>
      </c>
      <c r="F289" s="568">
        <v>0</v>
      </c>
      <c r="G289" s="568">
        <v>0</v>
      </c>
      <c r="H289" s="568">
        <v>0</v>
      </c>
      <c r="I289" s="568">
        <v>0</v>
      </c>
      <c r="J289" s="568">
        <v>0</v>
      </c>
      <c r="K289" s="568">
        <v>0</v>
      </c>
      <c r="L289" s="757">
        <v>255048.56</v>
      </c>
      <c r="M289" s="756">
        <v>8</v>
      </c>
      <c r="N289" s="568">
        <v>0</v>
      </c>
      <c r="O289" s="568">
        <v>0</v>
      </c>
      <c r="P289" s="568">
        <v>0</v>
      </c>
      <c r="Q289" s="568">
        <v>0</v>
      </c>
      <c r="R289" s="568">
        <v>0</v>
      </c>
      <c r="S289" s="568">
        <v>0</v>
      </c>
      <c r="T289" s="568">
        <v>0</v>
      </c>
      <c r="U289" s="568">
        <v>0</v>
      </c>
      <c r="V289" s="568">
        <v>0</v>
      </c>
      <c r="W289" s="757">
        <v>255048.56</v>
      </c>
    </row>
    <row r="290" spans="1:24" ht="13.5" thickBot="1" x14ac:dyDescent="0.25">
      <c r="A290" s="132" t="s">
        <v>25</v>
      </c>
      <c r="B290" s="768">
        <f>+B282+B274+B266+B257</f>
        <v>578</v>
      </c>
      <c r="C290" s="768">
        <f t="shared" ref="C290:K290" si="6">+C282+C274+C266+C257</f>
        <v>0</v>
      </c>
      <c r="D290" s="768">
        <f t="shared" si="6"/>
        <v>240</v>
      </c>
      <c r="E290" s="768">
        <f t="shared" si="6"/>
        <v>0</v>
      </c>
      <c r="F290" s="768">
        <f t="shared" si="6"/>
        <v>0</v>
      </c>
      <c r="G290" s="768">
        <f t="shared" si="6"/>
        <v>0</v>
      </c>
      <c r="H290" s="768">
        <f t="shared" si="6"/>
        <v>0</v>
      </c>
      <c r="I290" s="768">
        <f t="shared" si="6"/>
        <v>0</v>
      </c>
      <c r="J290" s="768">
        <v>0</v>
      </c>
      <c r="K290" s="768">
        <f t="shared" si="6"/>
        <v>818</v>
      </c>
      <c r="L290" s="769">
        <f>+L282+L274+L266+L257</f>
        <v>38128450.399999999</v>
      </c>
      <c r="M290" s="768">
        <f>+M282+M274+M266+M257</f>
        <v>578</v>
      </c>
      <c r="N290" s="768">
        <f t="shared" ref="N290:T290" si="7">+N282+N274+N266+N257</f>
        <v>0</v>
      </c>
      <c r="O290" s="768">
        <f t="shared" si="7"/>
        <v>240</v>
      </c>
      <c r="P290" s="768">
        <f t="shared" si="7"/>
        <v>0</v>
      </c>
      <c r="Q290" s="768">
        <f t="shared" si="7"/>
        <v>0</v>
      </c>
      <c r="R290" s="768">
        <f t="shared" si="7"/>
        <v>0</v>
      </c>
      <c r="S290" s="768">
        <f t="shared" si="7"/>
        <v>0</v>
      </c>
      <c r="T290" s="768">
        <f t="shared" si="7"/>
        <v>0</v>
      </c>
      <c r="U290" s="768">
        <v>0</v>
      </c>
      <c r="V290" s="768">
        <f t="shared" ref="V290" si="8">+V282+V274+V266+V257</f>
        <v>818</v>
      </c>
      <c r="W290" s="769">
        <f>+W282+W274+W266+W257</f>
        <v>38128450.399999999</v>
      </c>
    </row>
    <row r="291" spans="1:24" x14ac:dyDescent="0.2">
      <c r="A291" s="574" t="s">
        <v>308</v>
      </c>
      <c r="B291" s="490"/>
      <c r="C291" s="490"/>
      <c r="D291" s="490"/>
      <c r="E291" s="490"/>
      <c r="F291" s="490"/>
      <c r="G291" s="490"/>
      <c r="H291" s="490"/>
      <c r="I291" s="490"/>
      <c r="J291" s="490"/>
      <c r="K291" s="490"/>
      <c r="L291" s="490"/>
      <c r="M291" s="490"/>
      <c r="N291" s="490"/>
      <c r="O291" s="490"/>
      <c r="P291" s="162"/>
      <c r="Q291" s="151"/>
      <c r="R291"/>
      <c r="S291"/>
      <c r="T291" s="162"/>
      <c r="U291" s="162"/>
      <c r="V291" s="162"/>
      <c r="W291" s="162"/>
    </row>
    <row r="292" spans="1:24" x14ac:dyDescent="0.2">
      <c r="A292" s="28" t="s">
        <v>302</v>
      </c>
      <c r="P292" s="162"/>
      <c r="Q292" s="151"/>
      <c r="R292"/>
      <c r="S292"/>
      <c r="T292"/>
      <c r="U292"/>
      <c r="V292" s="162"/>
      <c r="W292" s="162"/>
    </row>
    <row r="293" spans="1:24" x14ac:dyDescent="0.2">
      <c r="A293" s="28" t="s">
        <v>306</v>
      </c>
      <c r="P293" s="162"/>
      <c r="Q293" s="151"/>
      <c r="R293"/>
      <c r="S293"/>
      <c r="T293"/>
      <c r="U293"/>
      <c r="V293" s="162"/>
      <c r="W293" s="162"/>
    </row>
    <row r="294" spans="1:24" x14ac:dyDescent="0.2">
      <c r="A294" s="28" t="s">
        <v>313</v>
      </c>
    </row>
    <row r="297" spans="1:24" ht="15.75" x14ac:dyDescent="0.2">
      <c r="A297" s="562" t="s">
        <v>2271</v>
      </c>
      <c r="B297" s="851"/>
      <c r="C297" s="562"/>
      <c r="D297" s="852"/>
      <c r="E297" s="562"/>
      <c r="F297" s="562"/>
      <c r="G297" s="562"/>
      <c r="H297" s="562"/>
      <c r="I297" s="562"/>
      <c r="J297" s="562"/>
      <c r="K297" s="852"/>
      <c r="L297" s="852"/>
      <c r="M297" s="562"/>
      <c r="N297" s="562"/>
      <c r="O297" s="562"/>
      <c r="P297" s="562"/>
      <c r="Q297" s="562"/>
      <c r="R297" s="562"/>
      <c r="S297" s="562"/>
      <c r="T297" s="562"/>
      <c r="U297" s="562"/>
      <c r="V297" s="562"/>
      <c r="W297" s="562"/>
      <c r="X297" s="853"/>
    </row>
    <row r="298" spans="1:24" ht="15.75" x14ac:dyDescent="0.2">
      <c r="A298" s="173" t="s">
        <v>460</v>
      </c>
      <c r="B298" s="851"/>
      <c r="C298" s="562"/>
      <c r="D298" s="852"/>
      <c r="E298" s="562"/>
      <c r="F298" s="562"/>
      <c r="G298" s="562"/>
      <c r="H298" s="562"/>
      <c r="I298" s="562"/>
      <c r="J298" s="562"/>
      <c r="K298" s="852"/>
      <c r="L298" s="852"/>
      <c r="M298" s="562"/>
      <c r="N298" s="562"/>
      <c r="O298" s="562"/>
      <c r="P298" s="562"/>
      <c r="Q298" s="562"/>
      <c r="R298" s="562"/>
      <c r="S298" s="562"/>
      <c r="T298" s="562"/>
      <c r="U298" s="562"/>
      <c r="V298" s="562"/>
      <c r="W298" s="562"/>
      <c r="X298" s="853"/>
    </row>
    <row r="299" spans="1:24" ht="15.75" x14ac:dyDescent="0.25">
      <c r="A299" s="854" t="s">
        <v>2274</v>
      </c>
      <c r="B299" s="855"/>
      <c r="C299" s="854"/>
      <c r="D299" s="856"/>
      <c r="E299" s="854"/>
      <c r="F299" s="854"/>
      <c r="G299" s="854"/>
      <c r="H299" s="854"/>
      <c r="I299" s="854"/>
      <c r="J299" s="854"/>
      <c r="K299" s="856"/>
      <c r="L299" s="856"/>
      <c r="M299" s="854"/>
      <c r="N299" s="854"/>
      <c r="O299" s="854"/>
      <c r="P299" s="854"/>
      <c r="Q299" s="854"/>
      <c r="R299" s="854"/>
      <c r="S299" s="854"/>
      <c r="T299" s="854"/>
      <c r="U299" s="854"/>
      <c r="V299" s="854"/>
      <c r="W299" s="854"/>
      <c r="X299" s="854"/>
    </row>
    <row r="300" spans="1:24" ht="13.5" thickBot="1" x14ac:dyDescent="0.25">
      <c r="B300" s="857"/>
      <c r="D300" s="858"/>
      <c r="K300" s="858"/>
      <c r="L300" s="859"/>
      <c r="W300" s="563"/>
      <c r="X300" s="860"/>
    </row>
    <row r="301" spans="1:24" ht="17.25" thickBot="1" x14ac:dyDescent="0.25">
      <c r="A301" s="861" t="s">
        <v>10</v>
      </c>
      <c r="B301" s="1475" t="s">
        <v>420</v>
      </c>
      <c r="C301" s="1476"/>
      <c r="D301" s="1476"/>
      <c r="E301" s="1476"/>
      <c r="F301" s="1476"/>
      <c r="G301" s="1476"/>
      <c r="H301" s="1476"/>
      <c r="I301" s="1476"/>
      <c r="J301" s="1476"/>
      <c r="K301" s="1476"/>
      <c r="L301" s="1476"/>
      <c r="M301" s="1475" t="s">
        <v>421</v>
      </c>
      <c r="N301" s="1476"/>
      <c r="O301" s="1476"/>
      <c r="P301" s="1476"/>
      <c r="Q301" s="1476"/>
      <c r="R301" s="1476"/>
      <c r="S301" s="1476"/>
      <c r="T301" s="1476"/>
      <c r="U301" s="1476"/>
      <c r="V301" s="1476"/>
      <c r="W301" s="1477"/>
      <c r="X301" s="862"/>
    </row>
    <row r="302" spans="1:24" ht="215.25" x14ac:dyDescent="0.2">
      <c r="A302" s="863" t="s">
        <v>9</v>
      </c>
      <c r="B302" s="864" t="s">
        <v>347</v>
      </c>
      <c r="C302" s="865" t="s">
        <v>134</v>
      </c>
      <c r="D302" s="866" t="s">
        <v>301</v>
      </c>
      <c r="E302" s="867" t="s">
        <v>298</v>
      </c>
      <c r="F302" s="867" t="s">
        <v>303</v>
      </c>
      <c r="G302" s="867" t="s">
        <v>304</v>
      </c>
      <c r="H302" s="867" t="s">
        <v>305</v>
      </c>
      <c r="I302" s="867" t="s">
        <v>312</v>
      </c>
      <c r="J302" s="868" t="s">
        <v>307</v>
      </c>
      <c r="K302" s="869" t="s">
        <v>309</v>
      </c>
      <c r="L302" s="870" t="s">
        <v>311</v>
      </c>
      <c r="M302" s="871" t="s">
        <v>347</v>
      </c>
      <c r="N302" s="865" t="s">
        <v>134</v>
      </c>
      <c r="O302" s="867" t="s">
        <v>301</v>
      </c>
      <c r="P302" s="867" t="s">
        <v>298</v>
      </c>
      <c r="Q302" s="867" t="s">
        <v>303</v>
      </c>
      <c r="R302" s="867" t="s">
        <v>304</v>
      </c>
      <c r="S302" s="867" t="s">
        <v>305</v>
      </c>
      <c r="T302" s="867" t="s">
        <v>312</v>
      </c>
      <c r="U302" s="868" t="s">
        <v>307</v>
      </c>
      <c r="V302" s="872" t="s">
        <v>309</v>
      </c>
      <c r="W302" s="873" t="s">
        <v>310</v>
      </c>
      <c r="X302" s="874"/>
    </row>
    <row r="303" spans="1:24" ht="18" x14ac:dyDescent="0.2">
      <c r="A303" s="875" t="s">
        <v>7</v>
      </c>
      <c r="B303" s="876">
        <f t="shared" ref="B303:W303" si="9">SUM(B304)</f>
        <v>1</v>
      </c>
      <c r="C303" s="877">
        <f t="shared" si="9"/>
        <v>0</v>
      </c>
      <c r="D303" s="877">
        <f t="shared" si="9"/>
        <v>0</v>
      </c>
      <c r="E303" s="878">
        <f t="shared" si="9"/>
        <v>0</v>
      </c>
      <c r="F303" s="878">
        <f t="shared" si="9"/>
        <v>0</v>
      </c>
      <c r="G303" s="878">
        <f t="shared" si="9"/>
        <v>0</v>
      </c>
      <c r="H303" s="878">
        <f t="shared" si="9"/>
        <v>0</v>
      </c>
      <c r="I303" s="878">
        <f t="shared" si="9"/>
        <v>0</v>
      </c>
      <c r="J303" s="878">
        <f t="shared" si="9"/>
        <v>0</v>
      </c>
      <c r="K303" s="878">
        <f t="shared" si="9"/>
        <v>5123.7433333333329</v>
      </c>
      <c r="L303" s="879">
        <f t="shared" si="9"/>
        <v>61484.92</v>
      </c>
      <c r="M303" s="876">
        <f t="shared" si="9"/>
        <v>1</v>
      </c>
      <c r="N303" s="878">
        <f t="shared" si="9"/>
        <v>0</v>
      </c>
      <c r="O303" s="880">
        <f t="shared" si="9"/>
        <v>0</v>
      </c>
      <c r="P303" s="878">
        <f t="shared" si="9"/>
        <v>0</v>
      </c>
      <c r="Q303" s="878">
        <f t="shared" si="9"/>
        <v>0</v>
      </c>
      <c r="R303" s="878">
        <f t="shared" si="9"/>
        <v>0</v>
      </c>
      <c r="S303" s="878">
        <f t="shared" si="9"/>
        <v>0</v>
      </c>
      <c r="T303" s="878">
        <f t="shared" si="9"/>
        <v>0</v>
      </c>
      <c r="U303" s="878">
        <f t="shared" si="9"/>
        <v>0</v>
      </c>
      <c r="V303" s="878">
        <f t="shared" si="9"/>
        <v>5123.7433333333329</v>
      </c>
      <c r="W303" s="879">
        <f t="shared" si="9"/>
        <v>61484.92</v>
      </c>
      <c r="X303" s="881"/>
    </row>
    <row r="304" spans="1:24" ht="18" x14ac:dyDescent="0.25">
      <c r="A304" s="882" t="s">
        <v>1401</v>
      </c>
      <c r="B304" s="883">
        <v>1</v>
      </c>
      <c r="C304" s="884"/>
      <c r="D304" s="884"/>
      <c r="E304" s="885"/>
      <c r="F304" s="885"/>
      <c r="G304" s="885"/>
      <c r="H304" s="885"/>
      <c r="I304" s="885"/>
      <c r="J304" s="885"/>
      <c r="K304" s="886">
        <f>L304/12</f>
        <v>5123.7433333333329</v>
      </c>
      <c r="L304" s="887">
        <v>61484.92</v>
      </c>
      <c r="M304" s="883">
        <v>1</v>
      </c>
      <c r="N304" s="885"/>
      <c r="O304" s="888"/>
      <c r="P304" s="885"/>
      <c r="Q304" s="885"/>
      <c r="R304" s="885"/>
      <c r="S304" s="885"/>
      <c r="T304" s="885"/>
      <c r="U304" s="885"/>
      <c r="V304" s="886">
        <f>W304/12</f>
        <v>5123.7433333333329</v>
      </c>
      <c r="W304" s="887">
        <v>61484.92</v>
      </c>
      <c r="X304" s="889"/>
    </row>
    <row r="305" spans="1:24" ht="18" x14ac:dyDescent="0.2">
      <c r="A305" s="875" t="s">
        <v>4</v>
      </c>
      <c r="B305" s="876">
        <f t="shared" ref="B305:W305" si="10">SUM(B306:B323)</f>
        <v>156</v>
      </c>
      <c r="C305" s="877">
        <f t="shared" si="10"/>
        <v>0</v>
      </c>
      <c r="D305" s="877">
        <f t="shared" si="10"/>
        <v>0</v>
      </c>
      <c r="E305" s="878">
        <f t="shared" si="10"/>
        <v>0</v>
      </c>
      <c r="F305" s="878">
        <f t="shared" si="10"/>
        <v>0</v>
      </c>
      <c r="G305" s="878">
        <f t="shared" si="10"/>
        <v>0</v>
      </c>
      <c r="H305" s="878">
        <f t="shared" si="10"/>
        <v>0</v>
      </c>
      <c r="I305" s="878">
        <f t="shared" si="10"/>
        <v>0</v>
      </c>
      <c r="J305" s="878">
        <f t="shared" si="10"/>
        <v>0</v>
      </c>
      <c r="K305" s="878">
        <f t="shared" si="10"/>
        <v>710052.36333333328</v>
      </c>
      <c r="L305" s="879">
        <f t="shared" si="10"/>
        <v>8520628.3599999994</v>
      </c>
      <c r="M305" s="876">
        <f t="shared" si="10"/>
        <v>157</v>
      </c>
      <c r="N305" s="878">
        <f t="shared" si="10"/>
        <v>0</v>
      </c>
      <c r="O305" s="880">
        <f t="shared" si="10"/>
        <v>0</v>
      </c>
      <c r="P305" s="878">
        <f t="shared" si="10"/>
        <v>0</v>
      </c>
      <c r="Q305" s="878">
        <f t="shared" si="10"/>
        <v>0</v>
      </c>
      <c r="R305" s="878">
        <f t="shared" si="10"/>
        <v>0</v>
      </c>
      <c r="S305" s="878">
        <f t="shared" si="10"/>
        <v>0</v>
      </c>
      <c r="T305" s="878">
        <f t="shared" si="10"/>
        <v>0</v>
      </c>
      <c r="U305" s="878">
        <f t="shared" si="10"/>
        <v>0</v>
      </c>
      <c r="V305" s="878">
        <f t="shared" si="10"/>
        <v>715459.69583333319</v>
      </c>
      <c r="W305" s="879">
        <f t="shared" si="10"/>
        <v>8585516.3499999996</v>
      </c>
      <c r="X305" s="881"/>
    </row>
    <row r="306" spans="1:24" ht="18" x14ac:dyDescent="0.25">
      <c r="A306" s="882" t="s">
        <v>1411</v>
      </c>
      <c r="B306" s="883">
        <v>38</v>
      </c>
      <c r="C306" s="884"/>
      <c r="D306" s="884"/>
      <c r="E306" s="885"/>
      <c r="F306" s="885"/>
      <c r="G306" s="885"/>
      <c r="H306" s="885"/>
      <c r="I306" s="885"/>
      <c r="J306" s="885"/>
      <c r="K306" s="886">
        <f t="shared" ref="K306:K314" si="11">L306/12</f>
        <v>205478.63</v>
      </c>
      <c r="L306" s="887">
        <v>2465743.56</v>
      </c>
      <c r="M306" s="883">
        <v>39</v>
      </c>
      <c r="N306" s="885"/>
      <c r="O306" s="888"/>
      <c r="P306" s="885"/>
      <c r="Q306" s="885"/>
      <c r="R306" s="885"/>
      <c r="S306" s="885"/>
      <c r="T306" s="885"/>
      <c r="U306" s="885"/>
      <c r="V306" s="886">
        <f>W306/12</f>
        <v>210885.96249999999</v>
      </c>
      <c r="W306" s="887">
        <v>2530631.5499999998</v>
      </c>
      <c r="X306" s="889"/>
    </row>
    <row r="307" spans="1:24" ht="18" x14ac:dyDescent="0.25">
      <c r="A307" s="882" t="s">
        <v>1410</v>
      </c>
      <c r="B307" s="883">
        <v>1</v>
      </c>
      <c r="C307" s="884"/>
      <c r="D307" s="884"/>
      <c r="E307" s="885"/>
      <c r="F307" s="885"/>
      <c r="G307" s="885"/>
      <c r="H307" s="885"/>
      <c r="I307" s="885"/>
      <c r="J307" s="885"/>
      <c r="K307" s="886">
        <f t="shared" si="11"/>
        <v>3038.3333333333335</v>
      </c>
      <c r="L307" s="887">
        <v>36460</v>
      </c>
      <c r="M307" s="883">
        <v>1</v>
      </c>
      <c r="N307" s="885"/>
      <c r="O307" s="888"/>
      <c r="P307" s="885"/>
      <c r="Q307" s="885"/>
      <c r="R307" s="885"/>
      <c r="S307" s="885"/>
      <c r="T307" s="885"/>
      <c r="U307" s="885"/>
      <c r="V307" s="886">
        <f t="shared" ref="V307:V314" si="12">W307/12</f>
        <v>3038.3333333333335</v>
      </c>
      <c r="W307" s="887">
        <v>36460</v>
      </c>
      <c r="X307" s="889"/>
    </row>
    <row r="308" spans="1:24" ht="18" x14ac:dyDescent="0.25">
      <c r="A308" s="882" t="s">
        <v>1409</v>
      </c>
      <c r="B308" s="883">
        <v>1</v>
      </c>
      <c r="C308" s="884"/>
      <c r="D308" s="884"/>
      <c r="E308" s="885"/>
      <c r="F308" s="885"/>
      <c r="G308" s="885"/>
      <c r="H308" s="885"/>
      <c r="I308" s="885"/>
      <c r="J308" s="885"/>
      <c r="K308" s="886">
        <f t="shared" si="11"/>
        <v>3198.3333333333335</v>
      </c>
      <c r="L308" s="887">
        <v>38380</v>
      </c>
      <c r="M308" s="883">
        <v>1</v>
      </c>
      <c r="N308" s="885"/>
      <c r="O308" s="888"/>
      <c r="P308" s="885"/>
      <c r="Q308" s="885"/>
      <c r="R308" s="885"/>
      <c r="S308" s="885"/>
      <c r="T308" s="885"/>
      <c r="U308" s="885"/>
      <c r="V308" s="886">
        <f t="shared" si="12"/>
        <v>3198.3333333333335</v>
      </c>
      <c r="W308" s="887">
        <v>38380</v>
      </c>
      <c r="X308" s="889"/>
    </row>
    <row r="309" spans="1:24" ht="18" x14ac:dyDescent="0.25">
      <c r="A309" s="882" t="s">
        <v>1407</v>
      </c>
      <c r="B309" s="883">
        <v>2</v>
      </c>
      <c r="C309" s="884"/>
      <c r="D309" s="884"/>
      <c r="E309" s="885"/>
      <c r="F309" s="885"/>
      <c r="G309" s="885"/>
      <c r="H309" s="885"/>
      <c r="I309" s="885"/>
      <c r="J309" s="885"/>
      <c r="K309" s="886">
        <f t="shared" si="11"/>
        <v>7188.666666666667</v>
      </c>
      <c r="L309" s="887">
        <v>86264</v>
      </c>
      <c r="M309" s="883">
        <v>2</v>
      </c>
      <c r="N309" s="885"/>
      <c r="O309" s="888"/>
      <c r="P309" s="885"/>
      <c r="Q309" s="885"/>
      <c r="R309" s="885"/>
      <c r="S309" s="885"/>
      <c r="T309" s="885"/>
      <c r="U309" s="885"/>
      <c r="V309" s="886">
        <f t="shared" si="12"/>
        <v>7188.666666666667</v>
      </c>
      <c r="W309" s="887">
        <v>86264</v>
      </c>
      <c r="X309" s="889"/>
    </row>
    <row r="310" spans="1:24" ht="18" x14ac:dyDescent="0.25">
      <c r="A310" s="882" t="s">
        <v>1425</v>
      </c>
      <c r="B310" s="883">
        <v>20</v>
      </c>
      <c r="C310" s="884"/>
      <c r="D310" s="884"/>
      <c r="E310" s="885"/>
      <c r="F310" s="885"/>
      <c r="G310" s="885"/>
      <c r="H310" s="885"/>
      <c r="I310" s="885"/>
      <c r="J310" s="885"/>
      <c r="K310" s="886">
        <f t="shared" si="11"/>
        <v>58718.986666666664</v>
      </c>
      <c r="L310" s="887">
        <v>704627.84</v>
      </c>
      <c r="M310" s="883">
        <v>20</v>
      </c>
      <c r="N310" s="885"/>
      <c r="O310" s="888"/>
      <c r="P310" s="885"/>
      <c r="Q310" s="885"/>
      <c r="R310" s="885"/>
      <c r="S310" s="885"/>
      <c r="T310" s="885"/>
      <c r="U310" s="885"/>
      <c r="V310" s="886">
        <f t="shared" si="12"/>
        <v>58718.986666666664</v>
      </c>
      <c r="W310" s="887">
        <v>704627.84</v>
      </c>
      <c r="X310" s="889"/>
    </row>
    <row r="311" spans="1:24" ht="18" x14ac:dyDescent="0.25">
      <c r="A311" s="882" t="s">
        <v>1424</v>
      </c>
      <c r="B311" s="883">
        <v>7</v>
      </c>
      <c r="C311" s="884"/>
      <c r="D311" s="884"/>
      <c r="E311" s="885"/>
      <c r="F311" s="885"/>
      <c r="G311" s="885"/>
      <c r="H311" s="885"/>
      <c r="I311" s="885"/>
      <c r="J311" s="885"/>
      <c r="K311" s="886">
        <f t="shared" si="11"/>
        <v>21268.333333333332</v>
      </c>
      <c r="L311" s="887">
        <v>255220</v>
      </c>
      <c r="M311" s="883">
        <v>7</v>
      </c>
      <c r="N311" s="885"/>
      <c r="O311" s="888"/>
      <c r="P311" s="885"/>
      <c r="Q311" s="885"/>
      <c r="R311" s="885"/>
      <c r="S311" s="885"/>
      <c r="T311" s="885"/>
      <c r="U311" s="885"/>
      <c r="V311" s="886">
        <f t="shared" si="12"/>
        <v>21268.333333333332</v>
      </c>
      <c r="W311" s="887">
        <v>255220</v>
      </c>
      <c r="X311" s="889"/>
    </row>
    <row r="312" spans="1:24" ht="18" x14ac:dyDescent="0.25">
      <c r="A312" s="882" t="s">
        <v>1421</v>
      </c>
      <c r="B312" s="883">
        <v>1</v>
      </c>
      <c r="C312" s="884"/>
      <c r="D312" s="884"/>
      <c r="E312" s="885"/>
      <c r="F312" s="885"/>
      <c r="G312" s="885"/>
      <c r="H312" s="885"/>
      <c r="I312" s="885"/>
      <c r="J312" s="885"/>
      <c r="K312" s="886">
        <f t="shared" si="11"/>
        <v>3594.3333333333335</v>
      </c>
      <c r="L312" s="887">
        <v>43132</v>
      </c>
      <c r="M312" s="883">
        <v>1</v>
      </c>
      <c r="N312" s="885"/>
      <c r="O312" s="888"/>
      <c r="P312" s="885"/>
      <c r="Q312" s="885"/>
      <c r="R312" s="885"/>
      <c r="S312" s="885"/>
      <c r="T312" s="885"/>
      <c r="U312" s="885"/>
      <c r="V312" s="886">
        <f t="shared" si="12"/>
        <v>3594.3333333333335</v>
      </c>
      <c r="W312" s="887">
        <v>43132</v>
      </c>
      <c r="X312" s="889"/>
    </row>
    <row r="313" spans="1:24" ht="18" x14ac:dyDescent="0.25">
      <c r="A313" s="882" t="s">
        <v>1415</v>
      </c>
      <c r="B313" s="883">
        <v>12</v>
      </c>
      <c r="C313" s="884"/>
      <c r="D313" s="884"/>
      <c r="E313" s="885"/>
      <c r="F313" s="885"/>
      <c r="G313" s="885"/>
      <c r="H313" s="885"/>
      <c r="I313" s="885"/>
      <c r="J313" s="885"/>
      <c r="K313" s="886">
        <f t="shared" si="11"/>
        <v>33268</v>
      </c>
      <c r="L313" s="887">
        <v>399216</v>
      </c>
      <c r="M313" s="883">
        <v>12</v>
      </c>
      <c r="N313" s="885"/>
      <c r="O313" s="888"/>
      <c r="P313" s="885"/>
      <c r="Q313" s="885"/>
      <c r="R313" s="885"/>
      <c r="S313" s="885"/>
      <c r="T313" s="885"/>
      <c r="U313" s="885"/>
      <c r="V313" s="886">
        <f t="shared" si="12"/>
        <v>33268</v>
      </c>
      <c r="W313" s="887">
        <v>399216</v>
      </c>
      <c r="X313" s="889"/>
    </row>
    <row r="314" spans="1:24" ht="18" x14ac:dyDescent="0.25">
      <c r="A314" s="882" t="s">
        <v>1412</v>
      </c>
      <c r="B314" s="883">
        <v>1</v>
      </c>
      <c r="C314" s="884"/>
      <c r="D314" s="884"/>
      <c r="E314" s="885"/>
      <c r="F314" s="885"/>
      <c r="G314" s="885"/>
      <c r="H314" s="885"/>
      <c r="I314" s="885"/>
      <c r="J314" s="885"/>
      <c r="K314" s="886">
        <f t="shared" si="11"/>
        <v>3594.3333333333335</v>
      </c>
      <c r="L314" s="887">
        <v>43132</v>
      </c>
      <c r="M314" s="883">
        <v>1</v>
      </c>
      <c r="N314" s="885"/>
      <c r="O314" s="888"/>
      <c r="P314" s="885"/>
      <c r="Q314" s="885"/>
      <c r="R314" s="885"/>
      <c r="S314" s="885"/>
      <c r="T314" s="885"/>
      <c r="U314" s="885"/>
      <c r="V314" s="886">
        <f t="shared" si="12"/>
        <v>3594.3333333333335</v>
      </c>
      <c r="W314" s="887">
        <v>43132</v>
      </c>
      <c r="X314" s="889"/>
    </row>
    <row r="315" spans="1:24" ht="18" x14ac:dyDescent="0.25">
      <c r="A315" s="882" t="s">
        <v>1433</v>
      </c>
      <c r="B315" s="883"/>
      <c r="C315" s="884"/>
      <c r="D315" s="884"/>
      <c r="E315" s="885"/>
      <c r="F315" s="885"/>
      <c r="G315" s="885"/>
      <c r="H315" s="885"/>
      <c r="I315" s="885"/>
      <c r="J315" s="885"/>
      <c r="K315" s="886"/>
      <c r="L315" s="887">
        <v>0</v>
      </c>
      <c r="M315" s="883"/>
      <c r="N315" s="885"/>
      <c r="O315" s="888"/>
      <c r="P315" s="885"/>
      <c r="Q315" s="885"/>
      <c r="R315" s="885"/>
      <c r="S315" s="885"/>
      <c r="T315" s="885"/>
      <c r="U315" s="885"/>
      <c r="V315" s="886">
        <v>0</v>
      </c>
      <c r="W315" s="887">
        <v>0</v>
      </c>
      <c r="X315" s="889"/>
    </row>
    <row r="316" spans="1:24" ht="18" x14ac:dyDescent="0.25">
      <c r="A316" s="882" t="s">
        <v>1435</v>
      </c>
      <c r="B316" s="883">
        <v>10</v>
      </c>
      <c r="C316" s="884"/>
      <c r="D316" s="884"/>
      <c r="E316" s="885"/>
      <c r="F316" s="885"/>
      <c r="G316" s="885"/>
      <c r="H316" s="885"/>
      <c r="I316" s="885"/>
      <c r="J316" s="885"/>
      <c r="K316" s="886">
        <f>L316/12</f>
        <v>28541.413333333334</v>
      </c>
      <c r="L316" s="887">
        <v>342496.96</v>
      </c>
      <c r="M316" s="883">
        <v>10</v>
      </c>
      <c r="N316" s="885"/>
      <c r="O316" s="888"/>
      <c r="P316" s="885"/>
      <c r="Q316" s="885"/>
      <c r="R316" s="885"/>
      <c r="S316" s="885"/>
      <c r="T316" s="885"/>
      <c r="U316" s="885"/>
      <c r="V316" s="886">
        <f>W316/12</f>
        <v>28541.413333333334</v>
      </c>
      <c r="W316" s="887">
        <v>342496.96</v>
      </c>
      <c r="X316" s="889"/>
    </row>
    <row r="317" spans="1:24" ht="18" x14ac:dyDescent="0.25">
      <c r="A317" s="882" t="s">
        <v>1430</v>
      </c>
      <c r="B317" s="883"/>
      <c r="C317" s="884"/>
      <c r="D317" s="884"/>
      <c r="E317" s="885"/>
      <c r="F317" s="885"/>
      <c r="G317" s="885"/>
      <c r="H317" s="885"/>
      <c r="I317" s="885"/>
      <c r="J317" s="885"/>
      <c r="K317" s="886"/>
      <c r="L317" s="887">
        <v>0</v>
      </c>
      <c r="M317" s="883"/>
      <c r="N317" s="885"/>
      <c r="O317" s="888"/>
      <c r="P317" s="885"/>
      <c r="Q317" s="885"/>
      <c r="R317" s="885"/>
      <c r="S317" s="885"/>
      <c r="T317" s="885"/>
      <c r="U317" s="885"/>
      <c r="V317" s="886">
        <v>0</v>
      </c>
      <c r="W317" s="887">
        <v>0</v>
      </c>
      <c r="X317" s="889"/>
    </row>
    <row r="318" spans="1:24" ht="18" x14ac:dyDescent="0.25">
      <c r="A318" s="882" t="s">
        <v>1429</v>
      </c>
      <c r="B318" s="883">
        <v>1</v>
      </c>
      <c r="C318" s="884"/>
      <c r="D318" s="884"/>
      <c r="E318" s="885"/>
      <c r="F318" s="885"/>
      <c r="G318" s="885"/>
      <c r="H318" s="885"/>
      <c r="I318" s="885"/>
      <c r="J318" s="885"/>
      <c r="K318" s="886">
        <f t="shared" ref="K318:K323" si="13">L318/12</f>
        <v>3038.3333333333335</v>
      </c>
      <c r="L318" s="887">
        <v>36460</v>
      </c>
      <c r="M318" s="883">
        <v>1</v>
      </c>
      <c r="N318" s="885"/>
      <c r="O318" s="888"/>
      <c r="P318" s="885"/>
      <c r="Q318" s="885"/>
      <c r="R318" s="885"/>
      <c r="S318" s="885"/>
      <c r="T318" s="885"/>
      <c r="U318" s="885"/>
      <c r="V318" s="886">
        <f t="shared" ref="V318:V323" si="14">W318/12</f>
        <v>3038.3333333333335</v>
      </c>
      <c r="W318" s="887">
        <v>36460</v>
      </c>
      <c r="X318" s="889"/>
    </row>
    <row r="319" spans="1:24" ht="18" x14ac:dyDescent="0.25">
      <c r="A319" s="882" t="s">
        <v>1426</v>
      </c>
      <c r="B319" s="883">
        <v>2</v>
      </c>
      <c r="C319" s="884"/>
      <c r="D319" s="884"/>
      <c r="E319" s="885"/>
      <c r="F319" s="885"/>
      <c r="G319" s="885"/>
      <c r="H319" s="885"/>
      <c r="I319" s="885"/>
      <c r="J319" s="885"/>
      <c r="K319" s="886">
        <f t="shared" si="13"/>
        <v>7188.666666666667</v>
      </c>
      <c r="L319" s="887">
        <v>86264</v>
      </c>
      <c r="M319" s="883">
        <v>2</v>
      </c>
      <c r="N319" s="885"/>
      <c r="O319" s="888"/>
      <c r="P319" s="885"/>
      <c r="Q319" s="885"/>
      <c r="R319" s="885"/>
      <c r="S319" s="885"/>
      <c r="T319" s="885"/>
      <c r="U319" s="885"/>
      <c r="V319" s="886">
        <f t="shared" si="14"/>
        <v>7188.666666666667</v>
      </c>
      <c r="W319" s="887">
        <v>86264</v>
      </c>
      <c r="X319" s="889"/>
    </row>
    <row r="320" spans="1:24" ht="18" x14ac:dyDescent="0.25">
      <c r="A320" s="882" t="s">
        <v>1420</v>
      </c>
      <c r="B320" s="883">
        <v>34</v>
      </c>
      <c r="C320" s="884"/>
      <c r="D320" s="884"/>
      <c r="E320" s="885"/>
      <c r="F320" s="885"/>
      <c r="G320" s="885"/>
      <c r="H320" s="885"/>
      <c r="I320" s="885"/>
      <c r="J320" s="885"/>
      <c r="K320" s="886">
        <f t="shared" si="13"/>
        <v>173683.33333333334</v>
      </c>
      <c r="L320" s="887">
        <v>2084200</v>
      </c>
      <c r="M320" s="883">
        <v>34</v>
      </c>
      <c r="N320" s="885"/>
      <c r="O320" s="888"/>
      <c r="P320" s="885"/>
      <c r="Q320" s="885"/>
      <c r="R320" s="885"/>
      <c r="S320" s="885"/>
      <c r="T320" s="885"/>
      <c r="U320" s="885"/>
      <c r="V320" s="886">
        <f t="shared" si="14"/>
        <v>173683.33333333334</v>
      </c>
      <c r="W320" s="887">
        <v>2084200</v>
      </c>
      <c r="X320" s="889"/>
    </row>
    <row r="321" spans="1:24" ht="18" x14ac:dyDescent="0.25">
      <c r="A321" s="882" t="s">
        <v>1419</v>
      </c>
      <c r="B321" s="883">
        <v>4</v>
      </c>
      <c r="C321" s="884"/>
      <c r="D321" s="884"/>
      <c r="E321" s="885"/>
      <c r="F321" s="885"/>
      <c r="G321" s="885"/>
      <c r="H321" s="885"/>
      <c r="I321" s="885"/>
      <c r="J321" s="885"/>
      <c r="K321" s="886">
        <f t="shared" si="13"/>
        <v>21465.333333333332</v>
      </c>
      <c r="L321" s="887">
        <v>257584</v>
      </c>
      <c r="M321" s="883">
        <v>4</v>
      </c>
      <c r="N321" s="885"/>
      <c r="O321" s="888"/>
      <c r="P321" s="885"/>
      <c r="Q321" s="885"/>
      <c r="R321" s="885"/>
      <c r="S321" s="885"/>
      <c r="T321" s="885"/>
      <c r="U321" s="885"/>
      <c r="V321" s="886">
        <f t="shared" si="14"/>
        <v>21465.333333333332</v>
      </c>
      <c r="W321" s="887">
        <v>257584</v>
      </c>
      <c r="X321" s="889"/>
    </row>
    <row r="322" spans="1:24" ht="18" x14ac:dyDescent="0.25">
      <c r="A322" s="882" t="s">
        <v>1418</v>
      </c>
      <c r="B322" s="883">
        <v>2</v>
      </c>
      <c r="C322" s="884"/>
      <c r="D322" s="884"/>
      <c r="E322" s="885"/>
      <c r="F322" s="885"/>
      <c r="G322" s="885"/>
      <c r="H322" s="885"/>
      <c r="I322" s="885"/>
      <c r="J322" s="885"/>
      <c r="K322" s="886">
        <f t="shared" si="13"/>
        <v>11260.666666666666</v>
      </c>
      <c r="L322" s="887">
        <v>135128</v>
      </c>
      <c r="M322" s="883">
        <v>2</v>
      </c>
      <c r="N322" s="885"/>
      <c r="O322" s="888"/>
      <c r="P322" s="885"/>
      <c r="Q322" s="885"/>
      <c r="R322" s="885"/>
      <c r="S322" s="885"/>
      <c r="T322" s="885"/>
      <c r="U322" s="885"/>
      <c r="V322" s="886">
        <f t="shared" si="14"/>
        <v>11260.666666666666</v>
      </c>
      <c r="W322" s="887">
        <v>135128</v>
      </c>
      <c r="X322" s="889"/>
    </row>
    <row r="323" spans="1:24" ht="18" x14ac:dyDescent="0.25">
      <c r="A323" s="882" t="s">
        <v>1417</v>
      </c>
      <c r="B323" s="883">
        <v>20</v>
      </c>
      <c r="C323" s="884"/>
      <c r="D323" s="884"/>
      <c r="E323" s="885"/>
      <c r="F323" s="885"/>
      <c r="G323" s="885"/>
      <c r="H323" s="885"/>
      <c r="I323" s="885"/>
      <c r="J323" s="885"/>
      <c r="K323" s="886">
        <f t="shared" si="13"/>
        <v>125526.66666666667</v>
      </c>
      <c r="L323" s="887">
        <v>1506320</v>
      </c>
      <c r="M323" s="883">
        <v>20</v>
      </c>
      <c r="N323" s="885"/>
      <c r="O323" s="888"/>
      <c r="P323" s="885"/>
      <c r="Q323" s="885"/>
      <c r="R323" s="885"/>
      <c r="S323" s="885"/>
      <c r="T323" s="885"/>
      <c r="U323" s="885"/>
      <c r="V323" s="886">
        <f t="shared" si="14"/>
        <v>125526.66666666667</v>
      </c>
      <c r="W323" s="887">
        <v>1506320</v>
      </c>
      <c r="X323" s="889"/>
    </row>
    <row r="324" spans="1:24" ht="18" x14ac:dyDescent="0.2">
      <c r="A324" s="890" t="s">
        <v>5</v>
      </c>
      <c r="B324" s="876">
        <f t="shared" ref="B324:W324" si="15">SUM(B325:B330)</f>
        <v>131</v>
      </c>
      <c r="C324" s="877">
        <f t="shared" si="15"/>
        <v>0</v>
      </c>
      <c r="D324" s="877">
        <f t="shared" si="15"/>
        <v>0</v>
      </c>
      <c r="E324" s="878">
        <f t="shared" si="15"/>
        <v>0</v>
      </c>
      <c r="F324" s="878">
        <f t="shared" si="15"/>
        <v>0</v>
      </c>
      <c r="G324" s="878">
        <f t="shared" si="15"/>
        <v>0</v>
      </c>
      <c r="H324" s="878">
        <f t="shared" si="15"/>
        <v>0</v>
      </c>
      <c r="I324" s="878">
        <f t="shared" si="15"/>
        <v>0</v>
      </c>
      <c r="J324" s="878">
        <f t="shared" si="15"/>
        <v>0</v>
      </c>
      <c r="K324" s="878">
        <f t="shared" si="15"/>
        <v>273548.56666666665</v>
      </c>
      <c r="L324" s="879">
        <f t="shared" si="15"/>
        <v>3282582.8</v>
      </c>
      <c r="M324" s="876">
        <f t="shared" si="15"/>
        <v>132</v>
      </c>
      <c r="N324" s="878">
        <f t="shared" si="15"/>
        <v>0</v>
      </c>
      <c r="O324" s="880">
        <f t="shared" si="15"/>
        <v>0</v>
      </c>
      <c r="P324" s="878">
        <f t="shared" si="15"/>
        <v>0</v>
      </c>
      <c r="Q324" s="878">
        <f t="shared" si="15"/>
        <v>0</v>
      </c>
      <c r="R324" s="878">
        <f t="shared" si="15"/>
        <v>0</v>
      </c>
      <c r="S324" s="878">
        <f t="shared" si="15"/>
        <v>0</v>
      </c>
      <c r="T324" s="878">
        <f t="shared" si="15"/>
        <v>0</v>
      </c>
      <c r="U324" s="878">
        <f t="shared" si="15"/>
        <v>0</v>
      </c>
      <c r="V324" s="878">
        <f t="shared" si="15"/>
        <v>275585.86916666664</v>
      </c>
      <c r="W324" s="879">
        <f t="shared" si="15"/>
        <v>3307030.4299999997</v>
      </c>
      <c r="X324" s="881"/>
    </row>
    <row r="325" spans="1:24" ht="18" x14ac:dyDescent="0.25">
      <c r="A325" s="891" t="s">
        <v>17</v>
      </c>
      <c r="B325" s="892">
        <v>6</v>
      </c>
      <c r="C325" s="884"/>
      <c r="D325" s="884"/>
      <c r="E325" s="885"/>
      <c r="F325" s="885"/>
      <c r="G325" s="885"/>
      <c r="H325" s="885"/>
      <c r="I325" s="885"/>
      <c r="J325" s="885"/>
      <c r="K325" s="886">
        <f t="shared" ref="K325:K330" si="16">L325/12</f>
        <v>13197.5</v>
      </c>
      <c r="L325" s="887">
        <v>158370</v>
      </c>
      <c r="M325" s="892">
        <v>6</v>
      </c>
      <c r="N325" s="885"/>
      <c r="O325" s="888"/>
      <c r="P325" s="885"/>
      <c r="Q325" s="885"/>
      <c r="R325" s="885"/>
      <c r="S325" s="885"/>
      <c r="T325" s="885"/>
      <c r="U325" s="885"/>
      <c r="V325" s="886">
        <f t="shared" ref="V325:V330" si="17">W325/12</f>
        <v>13197.5</v>
      </c>
      <c r="W325" s="887">
        <v>158370</v>
      </c>
      <c r="X325" s="889"/>
    </row>
    <row r="326" spans="1:24" ht="18" x14ac:dyDescent="0.25">
      <c r="A326" s="891" t="s">
        <v>1436</v>
      </c>
      <c r="B326" s="892">
        <v>12</v>
      </c>
      <c r="C326" s="884"/>
      <c r="D326" s="884"/>
      <c r="E326" s="885"/>
      <c r="F326" s="885"/>
      <c r="G326" s="885"/>
      <c r="H326" s="885"/>
      <c r="I326" s="885"/>
      <c r="J326" s="885"/>
      <c r="K326" s="886">
        <f t="shared" si="16"/>
        <v>26513.809999999998</v>
      </c>
      <c r="L326" s="887">
        <v>318165.71999999997</v>
      </c>
      <c r="M326" s="892">
        <v>12</v>
      </c>
      <c r="N326" s="885"/>
      <c r="O326" s="888"/>
      <c r="P326" s="885"/>
      <c r="Q326" s="885"/>
      <c r="R326" s="885"/>
      <c r="S326" s="885"/>
      <c r="T326" s="885"/>
      <c r="U326" s="885"/>
      <c r="V326" s="886">
        <f t="shared" si="17"/>
        <v>26513.809999999998</v>
      </c>
      <c r="W326" s="887">
        <v>318165.71999999997</v>
      </c>
      <c r="X326" s="889"/>
    </row>
    <row r="327" spans="1:24" ht="18" x14ac:dyDescent="0.25">
      <c r="A327" s="891" t="s">
        <v>1437</v>
      </c>
      <c r="B327" s="892">
        <v>22</v>
      </c>
      <c r="C327" s="884"/>
      <c r="D327" s="884"/>
      <c r="E327" s="885"/>
      <c r="F327" s="885"/>
      <c r="G327" s="885"/>
      <c r="H327" s="885"/>
      <c r="I327" s="885"/>
      <c r="J327" s="885"/>
      <c r="K327" s="886">
        <f t="shared" si="16"/>
        <v>47869.643333333333</v>
      </c>
      <c r="L327" s="887">
        <v>574435.72</v>
      </c>
      <c r="M327" s="892">
        <v>22</v>
      </c>
      <c r="N327" s="885"/>
      <c r="O327" s="888"/>
      <c r="P327" s="885"/>
      <c r="Q327" s="885"/>
      <c r="R327" s="885"/>
      <c r="S327" s="885"/>
      <c r="T327" s="885"/>
      <c r="U327" s="885"/>
      <c r="V327" s="886">
        <f t="shared" si="17"/>
        <v>47869.643333333333</v>
      </c>
      <c r="W327" s="887">
        <v>574435.72</v>
      </c>
      <c r="X327" s="889"/>
    </row>
    <row r="328" spans="1:24" ht="18" x14ac:dyDescent="0.25">
      <c r="A328" s="891" t="s">
        <v>1438</v>
      </c>
      <c r="B328" s="892">
        <v>8</v>
      </c>
      <c r="C328" s="884"/>
      <c r="D328" s="884"/>
      <c r="E328" s="885"/>
      <c r="F328" s="885"/>
      <c r="G328" s="885"/>
      <c r="H328" s="885"/>
      <c r="I328" s="885"/>
      <c r="J328" s="885"/>
      <c r="K328" s="886">
        <f t="shared" si="16"/>
        <v>16641.356666666667</v>
      </c>
      <c r="L328" s="887">
        <v>199696.28</v>
      </c>
      <c r="M328" s="892">
        <v>8</v>
      </c>
      <c r="N328" s="885"/>
      <c r="O328" s="888"/>
      <c r="P328" s="885"/>
      <c r="Q328" s="885"/>
      <c r="R328" s="885"/>
      <c r="S328" s="885"/>
      <c r="T328" s="885"/>
      <c r="U328" s="885"/>
      <c r="V328" s="886">
        <f t="shared" si="17"/>
        <v>16641.356666666667</v>
      </c>
      <c r="W328" s="887">
        <v>199696.28</v>
      </c>
      <c r="X328" s="889"/>
    </row>
    <row r="329" spans="1:24" ht="18" x14ac:dyDescent="0.25">
      <c r="A329" s="891" t="s">
        <v>18</v>
      </c>
      <c r="B329" s="892">
        <v>4</v>
      </c>
      <c r="C329" s="884"/>
      <c r="D329" s="884"/>
      <c r="E329" s="885"/>
      <c r="F329" s="885"/>
      <c r="G329" s="885"/>
      <c r="H329" s="885"/>
      <c r="I329" s="885"/>
      <c r="J329" s="885"/>
      <c r="K329" s="886">
        <f t="shared" si="16"/>
        <v>8379.123333333333</v>
      </c>
      <c r="L329" s="887">
        <v>100549.48</v>
      </c>
      <c r="M329" s="892">
        <v>4</v>
      </c>
      <c r="N329" s="885"/>
      <c r="O329" s="888"/>
      <c r="P329" s="885"/>
      <c r="Q329" s="885"/>
      <c r="R329" s="885"/>
      <c r="S329" s="885"/>
      <c r="T329" s="885"/>
      <c r="U329" s="885"/>
      <c r="V329" s="886">
        <f t="shared" si="17"/>
        <v>8379.123333333333</v>
      </c>
      <c r="W329" s="887">
        <v>100549.48</v>
      </c>
      <c r="X329" s="889"/>
    </row>
    <row r="330" spans="1:24" ht="18" x14ac:dyDescent="0.25">
      <c r="A330" s="891" t="s">
        <v>1439</v>
      </c>
      <c r="B330" s="892">
        <v>79</v>
      </c>
      <c r="C330" s="884"/>
      <c r="D330" s="884"/>
      <c r="E330" s="885"/>
      <c r="F330" s="885"/>
      <c r="G330" s="885"/>
      <c r="H330" s="885"/>
      <c r="I330" s="885"/>
      <c r="J330" s="885"/>
      <c r="K330" s="886">
        <f t="shared" si="16"/>
        <v>160947.13333333333</v>
      </c>
      <c r="L330" s="887">
        <v>1931365.6</v>
      </c>
      <c r="M330" s="892">
        <v>80</v>
      </c>
      <c r="N330" s="885"/>
      <c r="O330" s="888"/>
      <c r="P330" s="885"/>
      <c r="Q330" s="885"/>
      <c r="R330" s="885"/>
      <c r="S330" s="885"/>
      <c r="T330" s="885"/>
      <c r="U330" s="885"/>
      <c r="V330" s="886">
        <f t="shared" si="17"/>
        <v>162984.43583333332</v>
      </c>
      <c r="W330" s="887">
        <v>1955813.23</v>
      </c>
      <c r="X330" s="889"/>
    </row>
    <row r="331" spans="1:24" ht="18" x14ac:dyDescent="0.2">
      <c r="A331" s="875" t="s">
        <v>6</v>
      </c>
      <c r="B331" s="876">
        <f t="shared" ref="B331:W331" si="18">SUM(B332:B336)</f>
        <v>19</v>
      </c>
      <c r="C331" s="877">
        <f t="shared" si="18"/>
        <v>0</v>
      </c>
      <c r="D331" s="877">
        <f t="shared" si="18"/>
        <v>0</v>
      </c>
      <c r="E331" s="878">
        <f t="shared" si="18"/>
        <v>0</v>
      </c>
      <c r="F331" s="878">
        <f t="shared" si="18"/>
        <v>0</v>
      </c>
      <c r="G331" s="878">
        <f t="shared" si="18"/>
        <v>0</v>
      </c>
      <c r="H331" s="878">
        <f t="shared" si="18"/>
        <v>0</v>
      </c>
      <c r="I331" s="878">
        <f t="shared" si="18"/>
        <v>0</v>
      </c>
      <c r="J331" s="878">
        <f t="shared" si="18"/>
        <v>0</v>
      </c>
      <c r="K331" s="878">
        <f t="shared" si="18"/>
        <v>39454.203333333331</v>
      </c>
      <c r="L331" s="879">
        <f t="shared" si="18"/>
        <v>473450.44</v>
      </c>
      <c r="M331" s="876">
        <f t="shared" si="18"/>
        <v>19</v>
      </c>
      <c r="N331" s="878">
        <f t="shared" si="18"/>
        <v>0</v>
      </c>
      <c r="O331" s="880">
        <f t="shared" si="18"/>
        <v>0</v>
      </c>
      <c r="P331" s="878">
        <f t="shared" si="18"/>
        <v>0</v>
      </c>
      <c r="Q331" s="878">
        <f t="shared" si="18"/>
        <v>0</v>
      </c>
      <c r="R331" s="878">
        <f t="shared" si="18"/>
        <v>0</v>
      </c>
      <c r="S331" s="878">
        <f t="shared" si="18"/>
        <v>0</v>
      </c>
      <c r="T331" s="878">
        <f t="shared" si="18"/>
        <v>0</v>
      </c>
      <c r="U331" s="878">
        <f t="shared" si="18"/>
        <v>0</v>
      </c>
      <c r="V331" s="878">
        <f t="shared" si="18"/>
        <v>39454.203333333331</v>
      </c>
      <c r="W331" s="879">
        <f t="shared" si="18"/>
        <v>473450.44</v>
      </c>
      <c r="X331" s="881"/>
    </row>
    <row r="332" spans="1:24" ht="18" x14ac:dyDescent="0.25">
      <c r="A332" s="891" t="s">
        <v>19</v>
      </c>
      <c r="B332" s="883">
        <v>1</v>
      </c>
      <c r="C332" s="884"/>
      <c r="D332" s="884"/>
      <c r="E332" s="885"/>
      <c r="F332" s="885"/>
      <c r="G332" s="885"/>
      <c r="H332" s="885"/>
      <c r="I332" s="885"/>
      <c r="J332" s="885"/>
      <c r="K332" s="886">
        <f>L332/12</f>
        <v>2117.9833333333336</v>
      </c>
      <c r="L332" s="887">
        <v>25415.800000000003</v>
      </c>
      <c r="M332" s="883">
        <v>1</v>
      </c>
      <c r="N332" s="885"/>
      <c r="O332" s="888"/>
      <c r="P332" s="885"/>
      <c r="Q332" s="885"/>
      <c r="R332" s="885"/>
      <c r="S332" s="885"/>
      <c r="T332" s="885"/>
      <c r="U332" s="885"/>
      <c r="V332" s="886">
        <f>W332/12</f>
        <v>2117.9833333333336</v>
      </c>
      <c r="W332" s="887">
        <v>25415.800000000003</v>
      </c>
      <c r="X332" s="889"/>
    </row>
    <row r="333" spans="1:24" ht="18" x14ac:dyDescent="0.25">
      <c r="A333" s="891" t="s">
        <v>1440</v>
      </c>
      <c r="B333" s="883">
        <v>7</v>
      </c>
      <c r="C333" s="884"/>
      <c r="D333" s="884"/>
      <c r="E333" s="885"/>
      <c r="F333" s="885"/>
      <c r="G333" s="885"/>
      <c r="H333" s="885"/>
      <c r="I333" s="885"/>
      <c r="J333" s="885"/>
      <c r="K333" s="886">
        <f>L333/12</f>
        <v>14187.993333333332</v>
      </c>
      <c r="L333" s="887">
        <v>170255.91999999998</v>
      </c>
      <c r="M333" s="883">
        <v>7</v>
      </c>
      <c r="N333" s="885"/>
      <c r="O333" s="888"/>
      <c r="P333" s="885"/>
      <c r="Q333" s="885"/>
      <c r="R333" s="885"/>
      <c r="S333" s="885"/>
      <c r="T333" s="885"/>
      <c r="U333" s="885"/>
      <c r="V333" s="886">
        <f>W333/12</f>
        <v>14187.993333333332</v>
      </c>
      <c r="W333" s="887">
        <v>170255.91999999998</v>
      </c>
      <c r="X333" s="889"/>
    </row>
    <row r="334" spans="1:24" ht="18" x14ac:dyDescent="0.25">
      <c r="A334" s="891" t="s">
        <v>1441</v>
      </c>
      <c r="B334" s="883">
        <v>2</v>
      </c>
      <c r="C334" s="884"/>
      <c r="D334" s="884"/>
      <c r="E334" s="885"/>
      <c r="F334" s="885"/>
      <c r="G334" s="885"/>
      <c r="H334" s="885"/>
      <c r="I334" s="885"/>
      <c r="J334" s="885"/>
      <c r="K334" s="886">
        <f>L334/12</f>
        <v>4365.1566666666668</v>
      </c>
      <c r="L334" s="887">
        <v>52381.88</v>
      </c>
      <c r="M334" s="883">
        <v>2</v>
      </c>
      <c r="N334" s="885"/>
      <c r="O334" s="888"/>
      <c r="P334" s="885"/>
      <c r="Q334" s="885"/>
      <c r="R334" s="885"/>
      <c r="S334" s="885"/>
      <c r="T334" s="885"/>
      <c r="U334" s="885"/>
      <c r="V334" s="886">
        <f>W334/12</f>
        <v>4365.1566666666668</v>
      </c>
      <c r="W334" s="887">
        <v>52381.88</v>
      </c>
      <c r="X334" s="889"/>
    </row>
    <row r="335" spans="1:24" ht="18" x14ac:dyDescent="0.25">
      <c r="A335" s="891" t="s">
        <v>1442</v>
      </c>
      <c r="B335" s="883">
        <v>5</v>
      </c>
      <c r="C335" s="884"/>
      <c r="D335" s="884"/>
      <c r="E335" s="885"/>
      <c r="F335" s="885"/>
      <c r="G335" s="885"/>
      <c r="H335" s="885"/>
      <c r="I335" s="885"/>
      <c r="J335" s="885"/>
      <c r="K335" s="886">
        <f>L335/12</f>
        <v>10631.776666666667</v>
      </c>
      <c r="L335" s="887">
        <v>127581.32</v>
      </c>
      <c r="M335" s="883">
        <v>5</v>
      </c>
      <c r="N335" s="885"/>
      <c r="O335" s="888"/>
      <c r="P335" s="885"/>
      <c r="Q335" s="885"/>
      <c r="R335" s="885"/>
      <c r="S335" s="885"/>
      <c r="T335" s="885"/>
      <c r="U335" s="885"/>
      <c r="V335" s="886">
        <f>W335/12</f>
        <v>10631.776666666667</v>
      </c>
      <c r="W335" s="887">
        <v>127581.32</v>
      </c>
      <c r="X335" s="889"/>
    </row>
    <row r="336" spans="1:24" ht="18" x14ac:dyDescent="0.25">
      <c r="A336" s="891" t="s">
        <v>1443</v>
      </c>
      <c r="B336" s="883">
        <v>4</v>
      </c>
      <c r="C336" s="884"/>
      <c r="D336" s="884"/>
      <c r="E336" s="885"/>
      <c r="F336" s="885"/>
      <c r="G336" s="885"/>
      <c r="H336" s="885"/>
      <c r="I336" s="885"/>
      <c r="J336" s="885"/>
      <c r="K336" s="886">
        <f>L336/12</f>
        <v>8151.293333333334</v>
      </c>
      <c r="L336" s="887">
        <v>97815.52</v>
      </c>
      <c r="M336" s="883">
        <v>4</v>
      </c>
      <c r="N336" s="885"/>
      <c r="O336" s="888"/>
      <c r="P336" s="885"/>
      <c r="Q336" s="885"/>
      <c r="R336" s="885"/>
      <c r="S336" s="885"/>
      <c r="T336" s="885"/>
      <c r="U336" s="885"/>
      <c r="V336" s="886">
        <f>W336/12</f>
        <v>8151.293333333334</v>
      </c>
      <c r="W336" s="887">
        <v>97815.52</v>
      </c>
      <c r="X336" s="889"/>
    </row>
    <row r="337" spans="1:24" ht="18" x14ac:dyDescent="0.25">
      <c r="A337" s="893" t="s">
        <v>2272</v>
      </c>
      <c r="B337" s="894"/>
      <c r="C337" s="895"/>
      <c r="D337" s="896">
        <v>222</v>
      </c>
      <c r="E337" s="897"/>
      <c r="F337" s="897"/>
      <c r="G337" s="897"/>
      <c r="H337" s="897"/>
      <c r="I337" s="897"/>
      <c r="J337" s="897"/>
      <c r="K337" s="898">
        <v>473272.48000000004</v>
      </c>
      <c r="L337" s="898">
        <f>K337*12</f>
        <v>5679269.7600000007</v>
      </c>
      <c r="M337" s="899"/>
      <c r="N337" s="897"/>
      <c r="O337" s="900">
        <v>222</v>
      </c>
      <c r="P337" s="897"/>
      <c r="Q337" s="897"/>
      <c r="R337" s="897"/>
      <c r="S337" s="897"/>
      <c r="T337" s="897"/>
      <c r="U337" s="897"/>
      <c r="V337" s="901">
        <v>473272.48000000004</v>
      </c>
      <c r="W337" s="901">
        <f>V337*12</f>
        <v>5679269.7600000007</v>
      </c>
      <c r="X337" s="889"/>
    </row>
    <row r="338" spans="1:24" ht="18" x14ac:dyDescent="0.25">
      <c r="A338" s="902" t="s">
        <v>2273</v>
      </c>
      <c r="B338" s="903">
        <f t="shared" ref="B338:W338" si="19">+B303+B305+B324+B331+B337</f>
        <v>307</v>
      </c>
      <c r="C338" s="903">
        <f t="shared" si="19"/>
        <v>0</v>
      </c>
      <c r="D338" s="903">
        <f t="shared" si="19"/>
        <v>222</v>
      </c>
      <c r="E338" s="903">
        <f t="shared" si="19"/>
        <v>0</v>
      </c>
      <c r="F338" s="903">
        <f t="shared" si="19"/>
        <v>0</v>
      </c>
      <c r="G338" s="903">
        <f t="shared" si="19"/>
        <v>0</v>
      </c>
      <c r="H338" s="903">
        <f t="shared" si="19"/>
        <v>0</v>
      </c>
      <c r="I338" s="903">
        <f t="shared" si="19"/>
        <v>0</v>
      </c>
      <c r="J338" s="903">
        <f t="shared" si="19"/>
        <v>0</v>
      </c>
      <c r="K338" s="903">
        <f t="shared" si="19"/>
        <v>1501451.3566666667</v>
      </c>
      <c r="L338" s="903">
        <f t="shared" si="19"/>
        <v>18017416.279999997</v>
      </c>
      <c r="M338" s="903">
        <f t="shared" si="19"/>
        <v>309</v>
      </c>
      <c r="N338" s="903">
        <f t="shared" si="19"/>
        <v>0</v>
      </c>
      <c r="O338" s="904">
        <f t="shared" si="19"/>
        <v>222</v>
      </c>
      <c r="P338" s="903">
        <f t="shared" si="19"/>
        <v>0</v>
      </c>
      <c r="Q338" s="903">
        <f t="shared" si="19"/>
        <v>0</v>
      </c>
      <c r="R338" s="903">
        <f t="shared" si="19"/>
        <v>0</v>
      </c>
      <c r="S338" s="903">
        <f t="shared" si="19"/>
        <v>0</v>
      </c>
      <c r="T338" s="903">
        <f t="shared" si="19"/>
        <v>0</v>
      </c>
      <c r="U338" s="903">
        <f t="shared" si="19"/>
        <v>0</v>
      </c>
      <c r="V338" s="903">
        <f t="shared" si="19"/>
        <v>1508895.9916666665</v>
      </c>
      <c r="W338" s="903">
        <f t="shared" si="19"/>
        <v>18106751.899999999</v>
      </c>
      <c r="X338" s="905"/>
    </row>
    <row r="339" spans="1:24" ht="15" x14ac:dyDescent="0.2">
      <c r="A339" s="906" t="s">
        <v>308</v>
      </c>
      <c r="B339" s="907"/>
      <c r="C339" s="908"/>
      <c r="D339" s="909"/>
      <c r="E339" s="908"/>
      <c r="F339" s="908"/>
      <c r="G339" s="908"/>
      <c r="H339" s="908"/>
      <c r="I339" s="908"/>
      <c r="J339" s="908"/>
      <c r="K339" s="909"/>
      <c r="L339" s="909"/>
      <c r="M339" s="908"/>
      <c r="N339" s="908"/>
      <c r="O339" s="908"/>
      <c r="P339" s="910"/>
      <c r="Q339" s="911"/>
      <c r="R339" s="910"/>
      <c r="S339" s="910"/>
      <c r="T339" s="910"/>
      <c r="U339" s="910"/>
      <c r="V339" s="910"/>
      <c r="W339" s="910"/>
      <c r="X339" s="910"/>
    </row>
    <row r="340" spans="1:24" ht="18" x14ac:dyDescent="0.2">
      <c r="A340" s="906" t="s">
        <v>302</v>
      </c>
      <c r="B340" s="912"/>
      <c r="C340" s="906"/>
      <c r="D340" s="913"/>
      <c r="E340" s="906"/>
      <c r="F340" s="906"/>
      <c r="G340" s="906"/>
      <c r="H340" s="906"/>
      <c r="I340" s="906"/>
      <c r="J340" s="906"/>
      <c r="K340" s="913"/>
      <c r="L340" s="914"/>
      <c r="M340" s="906"/>
      <c r="N340" s="906"/>
      <c r="O340" s="906"/>
      <c r="P340" s="910"/>
      <c r="Q340" s="910"/>
      <c r="R340" s="910"/>
      <c r="S340" s="910"/>
      <c r="T340" s="910"/>
      <c r="U340" s="910"/>
      <c r="V340" s="914"/>
      <c r="W340" s="914"/>
      <c r="X340" s="910"/>
    </row>
    <row r="341" spans="1:24" ht="14.25" x14ac:dyDescent="0.2">
      <c r="A341" s="906" t="s">
        <v>306</v>
      </c>
      <c r="B341" s="912"/>
      <c r="C341" s="906"/>
      <c r="D341" s="913"/>
      <c r="E341" s="906"/>
      <c r="F341" s="906"/>
      <c r="G341" s="906"/>
      <c r="H341" s="906"/>
      <c r="I341" s="906"/>
      <c r="J341" s="906"/>
      <c r="K341" s="913"/>
      <c r="L341" s="913"/>
      <c r="M341" s="915"/>
      <c r="N341" s="906"/>
      <c r="O341" s="906"/>
      <c r="P341" s="910"/>
      <c r="Q341" s="910"/>
      <c r="R341" s="910"/>
      <c r="S341" s="910"/>
      <c r="T341" s="910"/>
      <c r="U341" s="910"/>
      <c r="V341" s="916"/>
      <c r="W341" s="913"/>
      <c r="X341" s="910"/>
    </row>
    <row r="342" spans="1:24" ht="14.25" x14ac:dyDescent="0.2">
      <c r="A342" s="906" t="s">
        <v>313</v>
      </c>
      <c r="B342" s="912"/>
      <c r="C342" s="906"/>
      <c r="D342" s="913"/>
      <c r="E342" s="906"/>
      <c r="F342" s="906"/>
      <c r="G342" s="906"/>
      <c r="H342" s="906"/>
      <c r="I342" s="906"/>
      <c r="J342" s="906"/>
      <c r="K342" s="913"/>
      <c r="L342" s="913"/>
      <c r="M342" s="906"/>
      <c r="N342" s="906"/>
      <c r="O342" s="906"/>
      <c r="P342" s="906"/>
      <c r="Q342" s="906"/>
      <c r="R342" s="906"/>
      <c r="S342" s="906"/>
      <c r="T342" s="906"/>
      <c r="U342" s="906"/>
      <c r="V342" s="906"/>
      <c r="W342" s="906"/>
      <c r="X342" s="911"/>
    </row>
    <row r="345" spans="1:24" ht="15.75" x14ac:dyDescent="0.2">
      <c r="A345" s="561" t="s">
        <v>422</v>
      </c>
      <c r="B345" s="562"/>
      <c r="C345" s="562"/>
      <c r="D345" s="562"/>
      <c r="E345" s="562"/>
      <c r="F345" s="562"/>
      <c r="G345" s="562"/>
      <c r="H345" s="562"/>
      <c r="I345" s="562"/>
      <c r="J345" s="562"/>
      <c r="K345" s="562"/>
      <c r="L345" s="562"/>
      <c r="M345" s="562"/>
      <c r="N345" s="562"/>
      <c r="O345" s="562"/>
      <c r="P345" s="562"/>
      <c r="Q345" s="562"/>
      <c r="R345" s="562"/>
      <c r="S345" s="562"/>
      <c r="T345" s="562"/>
      <c r="U345" s="562"/>
      <c r="V345" s="562"/>
      <c r="W345" s="562"/>
    </row>
    <row r="346" spans="1:24" ht="15.75" x14ac:dyDescent="0.2">
      <c r="A346" s="490" t="s">
        <v>2282</v>
      </c>
      <c r="B346" s="562"/>
      <c r="C346" s="562"/>
      <c r="D346" s="562"/>
      <c r="E346" s="562"/>
      <c r="F346" s="562"/>
      <c r="G346" s="562"/>
      <c r="H346" s="562"/>
      <c r="I346" s="562"/>
      <c r="J346" s="562"/>
      <c r="K346" s="562"/>
      <c r="L346" s="562"/>
      <c r="M346" s="562"/>
      <c r="N346" s="562"/>
      <c r="O346" s="562"/>
      <c r="P346" s="562"/>
      <c r="Q346" s="562"/>
      <c r="R346" s="562"/>
      <c r="S346" s="562"/>
      <c r="T346" s="562"/>
      <c r="U346" s="562"/>
      <c r="V346" s="562"/>
      <c r="W346" s="562"/>
    </row>
    <row r="347" spans="1:24" ht="16.5" thickBot="1" x14ac:dyDescent="0.3">
      <c r="A347" s="1126" t="s">
        <v>2831</v>
      </c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1:24" x14ac:dyDescent="0.2">
      <c r="A348" s="233" t="s">
        <v>10</v>
      </c>
      <c r="B348" s="1469" t="s">
        <v>420</v>
      </c>
      <c r="C348" s="1470"/>
      <c r="D348" s="1470"/>
      <c r="E348" s="1470"/>
      <c r="F348" s="1470"/>
      <c r="G348" s="1470"/>
      <c r="H348" s="1470"/>
      <c r="I348" s="1470"/>
      <c r="J348" s="1470"/>
      <c r="K348" s="1470"/>
      <c r="L348" s="1471"/>
      <c r="M348" s="1469" t="s">
        <v>421</v>
      </c>
      <c r="N348" s="1470"/>
      <c r="O348" s="1470"/>
      <c r="P348" s="1470"/>
      <c r="Q348" s="1470"/>
      <c r="R348" s="1470"/>
      <c r="S348" s="1470"/>
      <c r="T348" s="1470"/>
      <c r="U348" s="1470"/>
      <c r="V348" s="1470"/>
      <c r="W348" s="1471"/>
    </row>
    <row r="349" spans="1:24" ht="135" thickBot="1" x14ac:dyDescent="0.25">
      <c r="A349" s="234" t="s">
        <v>9</v>
      </c>
      <c r="B349" s="235" t="s">
        <v>347</v>
      </c>
      <c r="C349" s="235" t="s">
        <v>134</v>
      </c>
      <c r="D349" s="236" t="s">
        <v>301</v>
      </c>
      <c r="E349" s="236" t="s">
        <v>298</v>
      </c>
      <c r="F349" s="236" t="s">
        <v>303</v>
      </c>
      <c r="G349" s="236" t="s">
        <v>304</v>
      </c>
      <c r="H349" s="236" t="s">
        <v>305</v>
      </c>
      <c r="I349" s="236" t="s">
        <v>312</v>
      </c>
      <c r="J349" s="237" t="s">
        <v>307</v>
      </c>
      <c r="K349" s="238" t="s">
        <v>309</v>
      </c>
      <c r="L349" s="239" t="s">
        <v>311</v>
      </c>
      <c r="M349" s="235" t="s">
        <v>347</v>
      </c>
      <c r="N349" s="235" t="s">
        <v>134</v>
      </c>
      <c r="O349" s="236" t="s">
        <v>301</v>
      </c>
      <c r="P349" s="236" t="s">
        <v>298</v>
      </c>
      <c r="Q349" s="236" t="s">
        <v>303</v>
      </c>
      <c r="R349" s="236" t="s">
        <v>304</v>
      </c>
      <c r="S349" s="236" t="s">
        <v>305</v>
      </c>
      <c r="T349" s="236" t="s">
        <v>312</v>
      </c>
      <c r="U349" s="237" t="s">
        <v>307</v>
      </c>
      <c r="V349" s="238" t="s">
        <v>309</v>
      </c>
      <c r="W349" s="239" t="s">
        <v>310</v>
      </c>
    </row>
    <row r="350" spans="1:24" x14ac:dyDescent="0.2">
      <c r="A350" s="1127"/>
      <c r="B350" s="1128"/>
      <c r="C350" s="1129"/>
      <c r="D350" s="1129"/>
      <c r="E350" s="1129"/>
      <c r="F350" s="1129"/>
      <c r="G350" s="1129"/>
      <c r="H350" s="1129"/>
      <c r="I350" s="1129"/>
      <c r="J350" s="1129"/>
      <c r="K350" s="1128"/>
      <c r="L350" s="602"/>
      <c r="M350" s="1128"/>
      <c r="N350" s="1129"/>
      <c r="O350" s="1129"/>
      <c r="P350" s="1129"/>
      <c r="Q350" s="1129"/>
      <c r="R350" s="1129"/>
      <c r="S350" s="1129"/>
      <c r="T350" s="1129"/>
      <c r="U350" s="1129"/>
      <c r="V350" s="1128"/>
      <c r="W350" s="602"/>
    </row>
    <row r="351" spans="1:24" x14ac:dyDescent="0.2">
      <c r="A351" s="1130" t="s">
        <v>7</v>
      </c>
      <c r="B351" s="1131">
        <f t="shared" ref="B351:L351" si="20">SUM(B352:B359)</f>
        <v>18</v>
      </c>
      <c r="C351" s="1132">
        <f t="shared" si="20"/>
        <v>0</v>
      </c>
      <c r="D351" s="1132">
        <f t="shared" si="20"/>
        <v>0</v>
      </c>
      <c r="E351" s="1132">
        <v>0</v>
      </c>
      <c r="F351" s="1132">
        <f t="shared" si="20"/>
        <v>0</v>
      </c>
      <c r="G351" s="1132">
        <f t="shared" si="20"/>
        <v>0</v>
      </c>
      <c r="H351" s="1132">
        <f t="shared" si="20"/>
        <v>0</v>
      </c>
      <c r="I351" s="1132">
        <f t="shared" si="20"/>
        <v>0</v>
      </c>
      <c r="J351" s="1132">
        <f t="shared" si="20"/>
        <v>1</v>
      </c>
      <c r="K351" s="1133">
        <f>SUM(K352:K359)+D351</f>
        <v>19</v>
      </c>
      <c r="L351" s="1134">
        <f t="shared" si="20"/>
        <v>1203728.8841519996</v>
      </c>
      <c r="M351" s="1131">
        <f t="shared" ref="M351" si="21">SUM(M352:M359)</f>
        <v>18</v>
      </c>
      <c r="N351" s="1132">
        <f t="shared" ref="N351:O351" si="22">SUM(N352:N359)</f>
        <v>0</v>
      </c>
      <c r="O351" s="1132">
        <f t="shared" si="22"/>
        <v>0</v>
      </c>
      <c r="P351" s="1132">
        <v>0</v>
      </c>
      <c r="Q351" s="1132">
        <f t="shared" ref="Q351:U351" si="23">SUM(Q352:Q359)</f>
        <v>0</v>
      </c>
      <c r="R351" s="1132">
        <f t="shared" si="23"/>
        <v>0</v>
      </c>
      <c r="S351" s="1132">
        <f t="shared" si="23"/>
        <v>0</v>
      </c>
      <c r="T351" s="1132">
        <f t="shared" si="23"/>
        <v>0</v>
      </c>
      <c r="U351" s="1132">
        <f t="shared" si="23"/>
        <v>1</v>
      </c>
      <c r="V351" s="1133">
        <f>SUM(V352:V359)+O351</f>
        <v>19</v>
      </c>
      <c r="W351" s="1134">
        <f t="shared" ref="W351" si="24">SUM(W352:W359)</f>
        <v>1203728.8841519996</v>
      </c>
    </row>
    <row r="352" spans="1:24" x14ac:dyDescent="0.2">
      <c r="A352" s="1135" t="s">
        <v>13</v>
      </c>
      <c r="B352" s="1136">
        <v>1</v>
      </c>
      <c r="C352" s="358"/>
      <c r="D352" s="358"/>
      <c r="E352" s="358"/>
      <c r="F352" s="358"/>
      <c r="G352" s="358"/>
      <c r="H352" s="358"/>
      <c r="I352" s="358"/>
      <c r="J352" s="1137">
        <v>1</v>
      </c>
      <c r="K352" s="1137">
        <f>SUM(B352:J352)</f>
        <v>2</v>
      </c>
      <c r="L352" s="602">
        <v>45791.067280000003</v>
      </c>
      <c r="M352" s="1136">
        <v>1</v>
      </c>
      <c r="N352" s="358"/>
      <c r="O352" s="358"/>
      <c r="P352" s="358"/>
      <c r="Q352" s="358"/>
      <c r="R352" s="358"/>
      <c r="S352" s="358"/>
      <c r="T352" s="358"/>
      <c r="U352" s="1137">
        <v>1</v>
      </c>
      <c r="V352" s="1137">
        <f>SUM(M352:U352)</f>
        <v>2</v>
      </c>
      <c r="W352" s="602">
        <v>45791.067280000003</v>
      </c>
    </row>
    <row r="353" spans="1:23" x14ac:dyDescent="0.2">
      <c r="A353" s="1138" t="s">
        <v>1402</v>
      </c>
      <c r="B353" s="1136"/>
      <c r="C353" s="358"/>
      <c r="D353" s="358"/>
      <c r="E353" s="358"/>
      <c r="F353" s="358"/>
      <c r="G353" s="358"/>
      <c r="H353" s="358"/>
      <c r="I353" s="358"/>
      <c r="J353" s="1137"/>
      <c r="K353" s="1137">
        <f t="shared" ref="K353:K380" si="25">SUM(B353:J353)</f>
        <v>0</v>
      </c>
      <c r="L353" s="602"/>
      <c r="M353" s="1136"/>
      <c r="N353" s="358"/>
      <c r="O353" s="358"/>
      <c r="P353" s="358"/>
      <c r="Q353" s="358"/>
      <c r="R353" s="358"/>
      <c r="S353" s="358"/>
      <c r="T353" s="358"/>
      <c r="U353" s="1137"/>
      <c r="V353" s="1137">
        <f t="shared" ref="V353" si="26">SUM(M353:U353)</f>
        <v>0</v>
      </c>
      <c r="W353" s="602"/>
    </row>
    <row r="354" spans="1:23" x14ac:dyDescent="0.2">
      <c r="A354" s="1138" t="s">
        <v>1401</v>
      </c>
      <c r="B354" s="1136">
        <v>12</v>
      </c>
      <c r="C354" s="358"/>
      <c r="D354" s="358"/>
      <c r="E354" s="358"/>
      <c r="F354" s="358"/>
      <c r="G354" s="358"/>
      <c r="H354" s="358"/>
      <c r="I354" s="358"/>
      <c r="J354" s="1137"/>
      <c r="K354" s="1137">
        <f>SUM(B354:J354)</f>
        <v>12</v>
      </c>
      <c r="L354" s="602">
        <v>754135.80758399982</v>
      </c>
      <c r="M354" s="1136">
        <v>12</v>
      </c>
      <c r="N354" s="358"/>
      <c r="O354" s="358"/>
      <c r="P354" s="358"/>
      <c r="Q354" s="358"/>
      <c r="R354" s="358"/>
      <c r="S354" s="358"/>
      <c r="T354" s="358"/>
      <c r="U354" s="1137"/>
      <c r="V354" s="1137">
        <f>SUM(M354:U354)</f>
        <v>12</v>
      </c>
      <c r="W354" s="602">
        <v>754135.80758399982</v>
      </c>
    </row>
    <row r="355" spans="1:23" x14ac:dyDescent="0.2">
      <c r="A355" s="1138" t="s">
        <v>1400</v>
      </c>
      <c r="B355" s="1136">
        <v>4</v>
      </c>
      <c r="C355" s="358"/>
      <c r="D355" s="358"/>
      <c r="E355" s="358"/>
      <c r="F355" s="358"/>
      <c r="G355" s="358"/>
      <c r="H355" s="358"/>
      <c r="I355" s="358"/>
      <c r="J355" s="1137"/>
      <c r="K355" s="1137">
        <f t="shared" si="25"/>
        <v>4</v>
      </c>
      <c r="L355" s="602">
        <v>303246.37148800003</v>
      </c>
      <c r="M355" s="1136">
        <v>4</v>
      </c>
      <c r="N355" s="358"/>
      <c r="O355" s="358"/>
      <c r="P355" s="358"/>
      <c r="Q355" s="358"/>
      <c r="R355" s="358"/>
      <c r="S355" s="358"/>
      <c r="T355" s="358"/>
      <c r="U355" s="1137"/>
      <c r="V355" s="1137">
        <f t="shared" ref="V355:V359" si="27">SUM(M355:U355)</f>
        <v>4</v>
      </c>
      <c r="W355" s="602">
        <v>303246.37148800003</v>
      </c>
    </row>
    <row r="356" spans="1:23" x14ac:dyDescent="0.2">
      <c r="A356" s="1138" t="s">
        <v>1399</v>
      </c>
      <c r="B356" s="1136">
        <v>1</v>
      </c>
      <c r="C356" s="358"/>
      <c r="D356" s="358"/>
      <c r="E356" s="358"/>
      <c r="F356" s="358"/>
      <c r="G356" s="358"/>
      <c r="H356" s="358"/>
      <c r="I356" s="358"/>
      <c r="J356" s="1137"/>
      <c r="K356" s="1137">
        <f t="shared" si="25"/>
        <v>1</v>
      </c>
      <c r="L356" s="602">
        <v>100555.6378</v>
      </c>
      <c r="M356" s="1136">
        <v>1</v>
      </c>
      <c r="N356" s="358"/>
      <c r="O356" s="358"/>
      <c r="P356" s="358"/>
      <c r="Q356" s="358"/>
      <c r="R356" s="358"/>
      <c r="S356" s="358"/>
      <c r="T356" s="358"/>
      <c r="U356" s="1137"/>
      <c r="V356" s="1137">
        <f t="shared" si="27"/>
        <v>1</v>
      </c>
      <c r="W356" s="602">
        <v>100555.6378</v>
      </c>
    </row>
    <row r="357" spans="1:23" x14ac:dyDescent="0.2">
      <c r="A357" s="1138" t="s">
        <v>1398</v>
      </c>
      <c r="B357" s="1136"/>
      <c r="C357" s="358"/>
      <c r="D357" s="358"/>
      <c r="E357" s="358"/>
      <c r="F357" s="358"/>
      <c r="G357" s="358"/>
      <c r="H357" s="358"/>
      <c r="I357" s="358"/>
      <c r="J357" s="1137"/>
      <c r="K357" s="1137">
        <f t="shared" si="25"/>
        <v>0</v>
      </c>
      <c r="L357" s="602"/>
      <c r="M357" s="1136"/>
      <c r="N357" s="358"/>
      <c r="O357" s="358"/>
      <c r="P357" s="358"/>
      <c r="Q357" s="358"/>
      <c r="R357" s="358"/>
      <c r="S357" s="358"/>
      <c r="T357" s="358"/>
      <c r="U357" s="1137"/>
      <c r="V357" s="1137">
        <f t="shared" si="27"/>
        <v>0</v>
      </c>
      <c r="W357" s="602"/>
    </row>
    <row r="358" spans="1:23" x14ac:dyDescent="0.2">
      <c r="A358" s="1138" t="s">
        <v>1397</v>
      </c>
      <c r="B358" s="1136"/>
      <c r="C358" s="358"/>
      <c r="D358" s="358"/>
      <c r="E358" s="358"/>
      <c r="F358" s="358"/>
      <c r="G358" s="358"/>
      <c r="H358" s="358"/>
      <c r="I358" s="358"/>
      <c r="J358" s="1137"/>
      <c r="K358" s="1137">
        <f t="shared" si="25"/>
        <v>0</v>
      </c>
      <c r="L358" s="602"/>
      <c r="M358" s="1136"/>
      <c r="N358" s="358"/>
      <c r="O358" s="358"/>
      <c r="P358" s="358"/>
      <c r="Q358" s="358"/>
      <c r="R358" s="358"/>
      <c r="S358" s="358"/>
      <c r="T358" s="358"/>
      <c r="U358" s="1137"/>
      <c r="V358" s="1137">
        <f t="shared" si="27"/>
        <v>0</v>
      </c>
      <c r="W358" s="602"/>
    </row>
    <row r="359" spans="1:23" x14ac:dyDescent="0.2">
      <c r="A359" s="1139" t="s">
        <v>3</v>
      </c>
      <c r="B359" s="1136"/>
      <c r="C359" s="358"/>
      <c r="D359" s="358"/>
      <c r="E359" s="358"/>
      <c r="F359" s="358"/>
      <c r="G359" s="358"/>
      <c r="H359" s="358"/>
      <c r="I359" s="358"/>
      <c r="J359" s="1137"/>
      <c r="K359" s="1137">
        <f t="shared" si="25"/>
        <v>0</v>
      </c>
      <c r="L359" s="602"/>
      <c r="M359" s="1136"/>
      <c r="N359" s="358"/>
      <c r="O359" s="358"/>
      <c r="P359" s="358"/>
      <c r="Q359" s="358"/>
      <c r="R359" s="358"/>
      <c r="S359" s="358"/>
      <c r="T359" s="358"/>
      <c r="U359" s="1137"/>
      <c r="V359" s="1137">
        <f t="shared" si="27"/>
        <v>0</v>
      </c>
      <c r="W359" s="602"/>
    </row>
    <row r="360" spans="1:23" x14ac:dyDescent="0.2">
      <c r="A360" s="1130" t="s">
        <v>4</v>
      </c>
      <c r="B360" s="1131">
        <f>SUM(B361:B366)</f>
        <v>24</v>
      </c>
      <c r="C360" s="1132">
        <f t="shared" ref="C360" si="28">SUM(C361:C366)</f>
        <v>0</v>
      </c>
      <c r="D360" s="1132">
        <v>15</v>
      </c>
      <c r="E360" s="1132">
        <v>0</v>
      </c>
      <c r="F360" s="1132">
        <f t="shared" ref="F360:J360" si="29">SUM(F361:F366)</f>
        <v>0</v>
      </c>
      <c r="G360" s="1132">
        <f t="shared" si="29"/>
        <v>0</v>
      </c>
      <c r="H360" s="1132">
        <f t="shared" si="29"/>
        <v>0</v>
      </c>
      <c r="I360" s="1132">
        <f t="shared" si="29"/>
        <v>0</v>
      </c>
      <c r="J360" s="1132">
        <f t="shared" si="29"/>
        <v>0</v>
      </c>
      <c r="K360" s="1133">
        <f>SUM(K361:K366)+D360</f>
        <v>39</v>
      </c>
      <c r="L360" s="1134">
        <f>SUM(L361:L366)+736200</f>
        <v>1422368.1429600001</v>
      </c>
      <c r="M360" s="1131">
        <f>SUM(M361:M366)</f>
        <v>24</v>
      </c>
      <c r="N360" s="1132">
        <f t="shared" ref="N360" si="30">SUM(N361:N366)</f>
        <v>0</v>
      </c>
      <c r="O360" s="1132">
        <v>15</v>
      </c>
      <c r="P360" s="1132">
        <v>0</v>
      </c>
      <c r="Q360" s="1132">
        <f t="shared" ref="Q360:U360" si="31">SUM(Q361:Q366)</f>
        <v>0</v>
      </c>
      <c r="R360" s="1132">
        <f t="shared" si="31"/>
        <v>0</v>
      </c>
      <c r="S360" s="1132">
        <f t="shared" si="31"/>
        <v>0</v>
      </c>
      <c r="T360" s="1132">
        <f t="shared" si="31"/>
        <v>0</v>
      </c>
      <c r="U360" s="1132">
        <f t="shared" si="31"/>
        <v>0</v>
      </c>
      <c r="V360" s="1133">
        <f>SUM(V361:V366)+O360</f>
        <v>39</v>
      </c>
      <c r="W360" s="1134">
        <f>SUM(W361:W366)+736200</f>
        <v>1422368.1429600001</v>
      </c>
    </row>
    <row r="361" spans="1:23" x14ac:dyDescent="0.2">
      <c r="A361" s="1138" t="s">
        <v>14</v>
      </c>
      <c r="B361" s="1136"/>
      <c r="C361" s="358"/>
      <c r="D361" s="358"/>
      <c r="E361" s="358"/>
      <c r="F361" s="358"/>
      <c r="G361" s="358"/>
      <c r="H361" s="358"/>
      <c r="I361" s="358"/>
      <c r="J361" s="358"/>
      <c r="K361" s="1137">
        <f t="shared" si="25"/>
        <v>0</v>
      </c>
      <c r="L361" s="602"/>
      <c r="M361" s="1136"/>
      <c r="N361" s="358"/>
      <c r="O361" s="358"/>
      <c r="P361" s="358"/>
      <c r="Q361" s="358"/>
      <c r="R361" s="358"/>
      <c r="S361" s="358"/>
      <c r="T361" s="358"/>
      <c r="U361" s="358"/>
      <c r="V361" s="1137">
        <f t="shared" ref="V361:V366" si="32">SUM(M361:U361)</f>
        <v>0</v>
      </c>
      <c r="W361" s="602"/>
    </row>
    <row r="362" spans="1:23" x14ac:dyDescent="0.2">
      <c r="A362" s="1138" t="s">
        <v>1403</v>
      </c>
      <c r="B362" s="1136"/>
      <c r="C362" s="358"/>
      <c r="D362" s="358"/>
      <c r="E362" s="358"/>
      <c r="F362" s="358"/>
      <c r="G362" s="358"/>
      <c r="H362" s="358"/>
      <c r="I362" s="358"/>
      <c r="J362" s="358"/>
      <c r="K362" s="1137">
        <f t="shared" si="25"/>
        <v>0</v>
      </c>
      <c r="L362" s="602"/>
      <c r="M362" s="1136"/>
      <c r="N362" s="358"/>
      <c r="O362" s="358"/>
      <c r="P362" s="358"/>
      <c r="Q362" s="358"/>
      <c r="R362" s="358"/>
      <c r="S362" s="358"/>
      <c r="T362" s="358"/>
      <c r="U362" s="358"/>
      <c r="V362" s="1137">
        <f t="shared" si="32"/>
        <v>0</v>
      </c>
      <c r="W362" s="602"/>
    </row>
    <row r="363" spans="1:23" x14ac:dyDescent="0.2">
      <c r="A363" s="1138" t="s">
        <v>1404</v>
      </c>
      <c r="B363" s="1136"/>
      <c r="C363" s="358"/>
      <c r="D363" s="358"/>
      <c r="E363" s="358"/>
      <c r="F363" s="358"/>
      <c r="G363" s="358"/>
      <c r="H363" s="358"/>
      <c r="I363" s="358"/>
      <c r="J363" s="358"/>
      <c r="K363" s="1137">
        <f t="shared" si="25"/>
        <v>0</v>
      </c>
      <c r="L363" s="602"/>
      <c r="M363" s="1136"/>
      <c r="N363" s="358"/>
      <c r="O363" s="358"/>
      <c r="P363" s="358"/>
      <c r="Q363" s="358"/>
      <c r="R363" s="358"/>
      <c r="S363" s="358"/>
      <c r="T363" s="358"/>
      <c r="U363" s="358"/>
      <c r="V363" s="1137">
        <f t="shared" si="32"/>
        <v>0</v>
      </c>
      <c r="W363" s="602"/>
    </row>
    <row r="364" spans="1:23" x14ac:dyDescent="0.2">
      <c r="A364" s="1138" t="s">
        <v>1405</v>
      </c>
      <c r="B364" s="1136">
        <v>4</v>
      </c>
      <c r="C364" s="358"/>
      <c r="D364" s="358"/>
      <c r="E364" s="358"/>
      <c r="F364" s="358"/>
      <c r="G364" s="358"/>
      <c r="H364" s="358"/>
      <c r="I364" s="358"/>
      <c r="J364" s="358"/>
      <c r="K364" s="1137">
        <f t="shared" si="25"/>
        <v>4</v>
      </c>
      <c r="L364" s="602">
        <v>113994.558016</v>
      </c>
      <c r="M364" s="1136">
        <v>4</v>
      </c>
      <c r="N364" s="358"/>
      <c r="O364" s="358"/>
      <c r="P364" s="358"/>
      <c r="Q364" s="358"/>
      <c r="R364" s="358"/>
      <c r="S364" s="358"/>
      <c r="T364" s="358"/>
      <c r="U364" s="358"/>
      <c r="V364" s="1137">
        <f t="shared" si="32"/>
        <v>4</v>
      </c>
      <c r="W364" s="602">
        <v>113994.558016</v>
      </c>
    </row>
    <row r="365" spans="1:23" x14ac:dyDescent="0.2">
      <c r="A365" s="1138" t="s">
        <v>16</v>
      </c>
      <c r="B365" s="1136">
        <v>6</v>
      </c>
      <c r="C365" s="358"/>
      <c r="D365" s="358"/>
      <c r="E365" s="358"/>
      <c r="F365" s="358"/>
      <c r="G365" s="358"/>
      <c r="H365" s="358"/>
      <c r="I365" s="358"/>
      <c r="J365" s="358"/>
      <c r="K365" s="1137">
        <f t="shared" si="25"/>
        <v>6</v>
      </c>
      <c r="L365" s="602">
        <v>175690.45027199999</v>
      </c>
      <c r="M365" s="1136">
        <v>6</v>
      </c>
      <c r="N365" s="358"/>
      <c r="O365" s="358"/>
      <c r="P365" s="358"/>
      <c r="Q365" s="358"/>
      <c r="R365" s="358"/>
      <c r="S365" s="358"/>
      <c r="T365" s="358"/>
      <c r="U365" s="358"/>
      <c r="V365" s="1137">
        <f t="shared" si="32"/>
        <v>6</v>
      </c>
      <c r="W365" s="602">
        <v>175690.45027199999</v>
      </c>
    </row>
    <row r="366" spans="1:23" x14ac:dyDescent="0.2">
      <c r="A366" s="1139" t="s">
        <v>1406</v>
      </c>
      <c r="B366" s="1136">
        <v>14</v>
      </c>
      <c r="C366" s="358"/>
      <c r="D366" s="358"/>
      <c r="E366" s="358"/>
      <c r="F366" s="358"/>
      <c r="G366" s="358"/>
      <c r="H366" s="358"/>
      <c r="I366" s="358"/>
      <c r="J366" s="358"/>
      <c r="K366" s="1137">
        <f t="shared" si="25"/>
        <v>14</v>
      </c>
      <c r="L366" s="602">
        <v>396483.13467200007</v>
      </c>
      <c r="M366" s="1136">
        <v>14</v>
      </c>
      <c r="N366" s="358"/>
      <c r="O366" s="358"/>
      <c r="P366" s="358"/>
      <c r="Q366" s="358"/>
      <c r="R366" s="358"/>
      <c r="S366" s="358"/>
      <c r="T366" s="358"/>
      <c r="U366" s="358"/>
      <c r="V366" s="1137">
        <f t="shared" si="32"/>
        <v>14</v>
      </c>
      <c r="W366" s="602">
        <v>396483.13467200007</v>
      </c>
    </row>
    <row r="367" spans="1:23" x14ac:dyDescent="0.2">
      <c r="A367" s="1130" t="s">
        <v>5</v>
      </c>
      <c r="B367" s="1131">
        <f>SUM(B368:B373)</f>
        <v>716</v>
      </c>
      <c r="C367" s="1132">
        <f>SUM(C368:C373)</f>
        <v>0</v>
      </c>
      <c r="D367" s="1132">
        <v>84</v>
      </c>
      <c r="E367" s="1132">
        <v>0</v>
      </c>
      <c r="F367" s="1132">
        <f t="shared" ref="F367:J367" si="33">SUM(F368:F373)</f>
        <v>0</v>
      </c>
      <c r="G367" s="1132">
        <f t="shared" si="33"/>
        <v>0</v>
      </c>
      <c r="H367" s="1132">
        <f t="shared" si="33"/>
        <v>0</v>
      </c>
      <c r="I367" s="1132">
        <f t="shared" si="33"/>
        <v>0</v>
      </c>
      <c r="J367" s="1132">
        <f t="shared" si="33"/>
        <v>2</v>
      </c>
      <c r="K367" s="1133">
        <f>SUM(K368:K373)+D367+J367</f>
        <v>804</v>
      </c>
      <c r="L367" s="1134">
        <f>SUM(L368:L373)+1245960</f>
        <v>22483867.001152001</v>
      </c>
      <c r="M367" s="1131">
        <f>SUM(M368:M373)</f>
        <v>716</v>
      </c>
      <c r="N367" s="1132">
        <f t="shared" ref="N367" si="34">SUM(N368:N373)</f>
        <v>0</v>
      </c>
      <c r="O367" s="1132">
        <v>84</v>
      </c>
      <c r="P367" s="1132">
        <v>0</v>
      </c>
      <c r="Q367" s="1132">
        <f t="shared" ref="Q367:U367" si="35">SUM(Q368:Q373)</f>
        <v>0</v>
      </c>
      <c r="R367" s="1132">
        <f t="shared" si="35"/>
        <v>0</v>
      </c>
      <c r="S367" s="1132">
        <f t="shared" si="35"/>
        <v>0</v>
      </c>
      <c r="T367" s="1132">
        <f t="shared" si="35"/>
        <v>0</v>
      </c>
      <c r="U367" s="1132">
        <f t="shared" si="35"/>
        <v>2</v>
      </c>
      <c r="V367" s="1133">
        <f>SUM(V368:V373)+O367+U367</f>
        <v>804</v>
      </c>
      <c r="W367" s="1134">
        <f>SUM(W368:W373)+1245960</f>
        <v>22483867.001152001</v>
      </c>
    </row>
    <row r="368" spans="1:23" x14ac:dyDescent="0.2">
      <c r="A368" s="1135" t="s">
        <v>17</v>
      </c>
      <c r="B368" s="1136">
        <v>69</v>
      </c>
      <c r="C368" s="358"/>
      <c r="D368" s="358"/>
      <c r="E368" s="358"/>
      <c r="F368" s="358"/>
      <c r="G368" s="358"/>
      <c r="H368" s="358"/>
      <c r="I368" s="358"/>
      <c r="J368" s="1137"/>
      <c r="K368" s="1137">
        <f t="shared" si="25"/>
        <v>69</v>
      </c>
      <c r="L368" s="602">
        <v>2338991.256984001</v>
      </c>
      <c r="M368" s="1136">
        <v>69</v>
      </c>
      <c r="N368" s="358"/>
      <c r="O368" s="358"/>
      <c r="P368" s="358"/>
      <c r="Q368" s="358"/>
      <c r="R368" s="358"/>
      <c r="S368" s="358"/>
      <c r="T368" s="358"/>
      <c r="U368" s="1137"/>
      <c r="V368" s="1137">
        <f t="shared" ref="V368:V373" si="36">SUM(M368:U368)</f>
        <v>69</v>
      </c>
      <c r="W368" s="602">
        <v>2338991.256984001</v>
      </c>
    </row>
    <row r="369" spans="1:23" x14ac:dyDescent="0.2">
      <c r="A369" s="1138" t="s">
        <v>1436</v>
      </c>
      <c r="B369" s="1136">
        <v>83</v>
      </c>
      <c r="C369" s="358"/>
      <c r="D369" s="358"/>
      <c r="E369" s="358"/>
      <c r="F369" s="358"/>
      <c r="G369" s="358"/>
      <c r="H369" s="358"/>
      <c r="I369" s="358"/>
      <c r="J369" s="1137">
        <v>2</v>
      </c>
      <c r="K369" s="1137">
        <f t="shared" si="25"/>
        <v>85</v>
      </c>
      <c r="L369" s="602">
        <v>3173037.6710399999</v>
      </c>
      <c r="M369" s="1136">
        <v>83</v>
      </c>
      <c r="N369" s="358"/>
      <c r="O369" s="358"/>
      <c r="P369" s="358"/>
      <c r="Q369" s="358"/>
      <c r="R369" s="358"/>
      <c r="S369" s="358"/>
      <c r="T369" s="358"/>
      <c r="U369" s="1137">
        <v>2</v>
      </c>
      <c r="V369" s="1137">
        <f t="shared" si="36"/>
        <v>85</v>
      </c>
      <c r="W369" s="602">
        <v>3173037.6710399999</v>
      </c>
    </row>
    <row r="370" spans="1:23" x14ac:dyDescent="0.2">
      <c r="A370" s="1138" t="s">
        <v>1437</v>
      </c>
      <c r="B370" s="1136">
        <v>272</v>
      </c>
      <c r="C370" s="358"/>
      <c r="D370" s="358"/>
      <c r="E370" s="358"/>
      <c r="F370" s="358"/>
      <c r="G370" s="358"/>
      <c r="H370" s="358"/>
      <c r="I370" s="358"/>
      <c r="J370" s="1137"/>
      <c r="K370" s="1137">
        <f t="shared" si="25"/>
        <v>272</v>
      </c>
      <c r="L370" s="602">
        <v>9043764.186888</v>
      </c>
      <c r="M370" s="1136">
        <v>272</v>
      </c>
      <c r="N370" s="358"/>
      <c r="O370" s="358"/>
      <c r="P370" s="358"/>
      <c r="Q370" s="358"/>
      <c r="R370" s="358"/>
      <c r="S370" s="358"/>
      <c r="T370" s="358"/>
      <c r="U370" s="1137"/>
      <c r="V370" s="1137">
        <f t="shared" si="36"/>
        <v>272</v>
      </c>
      <c r="W370" s="602">
        <v>9043764.186888</v>
      </c>
    </row>
    <row r="371" spans="1:23" x14ac:dyDescent="0.2">
      <c r="A371" s="1138" t="s">
        <v>1438</v>
      </c>
      <c r="B371" s="1136">
        <v>50</v>
      </c>
      <c r="C371" s="358"/>
      <c r="D371" s="358"/>
      <c r="E371" s="358"/>
      <c r="F371" s="358"/>
      <c r="G371" s="358"/>
      <c r="H371" s="358"/>
      <c r="I371" s="358"/>
      <c r="J371" s="1137"/>
      <c r="K371" s="1137">
        <f t="shared" si="25"/>
        <v>50</v>
      </c>
      <c r="L371" s="602">
        <v>1554702.0206160001</v>
      </c>
      <c r="M371" s="1136">
        <v>50</v>
      </c>
      <c r="N371" s="358"/>
      <c r="O371" s="358"/>
      <c r="P371" s="358"/>
      <c r="Q371" s="358"/>
      <c r="R371" s="358"/>
      <c r="S371" s="358"/>
      <c r="T371" s="358"/>
      <c r="U371" s="1137"/>
      <c r="V371" s="1137">
        <f t="shared" si="36"/>
        <v>50</v>
      </c>
      <c r="W371" s="602">
        <v>1554702.0206160001</v>
      </c>
    </row>
    <row r="372" spans="1:23" x14ac:dyDescent="0.2">
      <c r="A372" s="1138" t="s">
        <v>18</v>
      </c>
      <c r="B372" s="1136">
        <v>74</v>
      </c>
      <c r="C372" s="358"/>
      <c r="D372" s="358"/>
      <c r="E372" s="358"/>
      <c r="F372" s="358"/>
      <c r="G372" s="358"/>
      <c r="H372" s="358"/>
      <c r="I372" s="358"/>
      <c r="J372" s="1137"/>
      <c r="K372" s="1137">
        <f t="shared" si="25"/>
        <v>74</v>
      </c>
      <c r="L372" s="602">
        <v>2428536.1828640006</v>
      </c>
      <c r="M372" s="1136">
        <v>74</v>
      </c>
      <c r="N372" s="358"/>
      <c r="O372" s="358"/>
      <c r="P372" s="358"/>
      <c r="Q372" s="358"/>
      <c r="R372" s="358"/>
      <c r="S372" s="358"/>
      <c r="T372" s="358"/>
      <c r="U372" s="1137"/>
      <c r="V372" s="1137">
        <f t="shared" si="36"/>
        <v>74</v>
      </c>
      <c r="W372" s="602">
        <v>2428536.1828640006</v>
      </c>
    </row>
    <row r="373" spans="1:23" x14ac:dyDescent="0.2">
      <c r="A373" s="1138" t="s">
        <v>1439</v>
      </c>
      <c r="B373" s="1136">
        <v>168</v>
      </c>
      <c r="C373" s="358"/>
      <c r="D373" s="358"/>
      <c r="E373" s="358"/>
      <c r="F373" s="358"/>
      <c r="G373" s="358"/>
      <c r="H373" s="358"/>
      <c r="I373" s="358"/>
      <c r="J373" s="1137"/>
      <c r="K373" s="1137">
        <f t="shared" si="25"/>
        <v>168</v>
      </c>
      <c r="L373" s="602">
        <v>2698875.6827600002</v>
      </c>
      <c r="M373" s="1136">
        <v>168</v>
      </c>
      <c r="N373" s="358"/>
      <c r="O373" s="358"/>
      <c r="P373" s="358"/>
      <c r="Q373" s="358"/>
      <c r="R373" s="358"/>
      <c r="S373" s="358"/>
      <c r="T373" s="358"/>
      <c r="U373" s="1137"/>
      <c r="V373" s="1137">
        <f t="shared" si="36"/>
        <v>168</v>
      </c>
      <c r="W373" s="602">
        <v>2698875.6827600002</v>
      </c>
    </row>
    <row r="374" spans="1:23" x14ac:dyDescent="0.2">
      <c r="A374" s="1130" t="s">
        <v>6</v>
      </c>
      <c r="B374" s="1131">
        <f t="shared" ref="B374:C374" si="37">SUM(B375:B380)</f>
        <v>217</v>
      </c>
      <c r="C374" s="1132">
        <f t="shared" si="37"/>
        <v>0</v>
      </c>
      <c r="D374" s="1132">
        <v>29</v>
      </c>
      <c r="E374" s="1132">
        <v>0</v>
      </c>
      <c r="F374" s="1132">
        <f t="shared" ref="F374:J374" si="38">SUM(F375:F380)</f>
        <v>0</v>
      </c>
      <c r="G374" s="1132">
        <f t="shared" si="38"/>
        <v>0</v>
      </c>
      <c r="H374" s="1132">
        <f t="shared" si="38"/>
        <v>0</v>
      </c>
      <c r="I374" s="1132">
        <f t="shared" si="38"/>
        <v>0</v>
      </c>
      <c r="J374" s="1132">
        <f t="shared" si="38"/>
        <v>1</v>
      </c>
      <c r="K374" s="1133">
        <f>SUM(K375:K380)+D374</f>
        <v>247</v>
      </c>
      <c r="L374" s="1134">
        <f>SUM(L375:L380)+413460</f>
        <v>6622788.8993279999</v>
      </c>
      <c r="M374" s="1131">
        <f t="shared" ref="M374" si="39">SUM(M375:M380)</f>
        <v>217</v>
      </c>
      <c r="N374" s="1132">
        <f t="shared" ref="N374" si="40">SUM(N375:N380)</f>
        <v>0</v>
      </c>
      <c r="O374" s="1132">
        <v>29</v>
      </c>
      <c r="P374" s="1132">
        <v>0</v>
      </c>
      <c r="Q374" s="1132">
        <f t="shared" ref="Q374:U374" si="41">SUM(Q375:Q380)</f>
        <v>0</v>
      </c>
      <c r="R374" s="1132">
        <f t="shared" si="41"/>
        <v>0</v>
      </c>
      <c r="S374" s="1132">
        <f t="shared" si="41"/>
        <v>0</v>
      </c>
      <c r="T374" s="1132">
        <f t="shared" si="41"/>
        <v>0</v>
      </c>
      <c r="U374" s="1132">
        <f t="shared" si="41"/>
        <v>1</v>
      </c>
      <c r="V374" s="1133">
        <f>SUM(V375:V380)+O374</f>
        <v>247</v>
      </c>
      <c r="W374" s="1134">
        <f>SUM(W375:W380)+413460</f>
        <v>6622788.8993279999</v>
      </c>
    </row>
    <row r="375" spans="1:23" x14ac:dyDescent="0.2">
      <c r="A375" s="1138" t="s">
        <v>19</v>
      </c>
      <c r="B375" s="1136">
        <v>23</v>
      </c>
      <c r="C375" s="358"/>
      <c r="D375" s="358"/>
      <c r="E375" s="358"/>
      <c r="F375" s="358"/>
      <c r="G375" s="358"/>
      <c r="H375" s="358"/>
      <c r="I375" s="358"/>
      <c r="J375" s="358"/>
      <c r="K375" s="1137">
        <f t="shared" si="25"/>
        <v>23</v>
      </c>
      <c r="L375" s="602">
        <v>332467.76019199996</v>
      </c>
      <c r="M375" s="1136">
        <v>23</v>
      </c>
      <c r="N375" s="358"/>
      <c r="O375" s="358"/>
      <c r="P375" s="358"/>
      <c r="Q375" s="358"/>
      <c r="R375" s="358"/>
      <c r="S375" s="358"/>
      <c r="T375" s="358"/>
      <c r="U375" s="358"/>
      <c r="V375" s="1137">
        <f t="shared" ref="V375:V380" si="42">SUM(M375:U375)</f>
        <v>23</v>
      </c>
      <c r="W375" s="602">
        <v>332467.76019199996</v>
      </c>
    </row>
    <row r="376" spans="1:23" x14ac:dyDescent="0.2">
      <c r="A376" s="1138" t="s">
        <v>1440</v>
      </c>
      <c r="B376" s="1136">
        <v>10</v>
      </c>
      <c r="C376" s="358"/>
      <c r="D376" s="358"/>
      <c r="E376" s="358"/>
      <c r="F376" s="358"/>
      <c r="G376" s="358"/>
      <c r="H376" s="358"/>
      <c r="I376" s="358"/>
      <c r="J376" s="358"/>
      <c r="K376" s="1137">
        <f t="shared" si="25"/>
        <v>10</v>
      </c>
      <c r="L376" s="602">
        <v>685491.91713599977</v>
      </c>
      <c r="M376" s="1136">
        <v>10</v>
      </c>
      <c r="N376" s="358"/>
      <c r="O376" s="358"/>
      <c r="P376" s="358"/>
      <c r="Q376" s="358"/>
      <c r="R376" s="358"/>
      <c r="S376" s="358"/>
      <c r="T376" s="358"/>
      <c r="U376" s="358"/>
      <c r="V376" s="1137">
        <f t="shared" si="42"/>
        <v>10</v>
      </c>
      <c r="W376" s="602">
        <v>685491.91713599977</v>
      </c>
    </row>
    <row r="377" spans="1:23" x14ac:dyDescent="0.2">
      <c r="A377" s="1138" t="s">
        <v>1441</v>
      </c>
      <c r="B377" s="1136">
        <v>34</v>
      </c>
      <c r="C377" s="358"/>
      <c r="D377" s="358"/>
      <c r="E377" s="358"/>
      <c r="F377" s="358"/>
      <c r="G377" s="358"/>
      <c r="H377" s="358"/>
      <c r="I377" s="358"/>
      <c r="J377" s="1137">
        <v>1</v>
      </c>
      <c r="K377" s="1137">
        <f t="shared" si="25"/>
        <v>35</v>
      </c>
      <c r="L377" s="602">
        <v>1033181.3308080001</v>
      </c>
      <c r="M377" s="1136">
        <v>34</v>
      </c>
      <c r="N377" s="358"/>
      <c r="O377" s="358"/>
      <c r="P377" s="358"/>
      <c r="Q377" s="358"/>
      <c r="R377" s="358"/>
      <c r="S377" s="358"/>
      <c r="T377" s="358"/>
      <c r="U377" s="1137">
        <v>1</v>
      </c>
      <c r="V377" s="1137">
        <f t="shared" si="42"/>
        <v>35</v>
      </c>
      <c r="W377" s="602">
        <v>1033181.3308080001</v>
      </c>
    </row>
    <row r="378" spans="1:23" x14ac:dyDescent="0.2">
      <c r="A378" s="1138" t="s">
        <v>1442</v>
      </c>
      <c r="B378" s="1136">
        <v>111</v>
      </c>
      <c r="C378" s="358"/>
      <c r="D378" s="358"/>
      <c r="E378" s="358"/>
      <c r="F378" s="358"/>
      <c r="G378" s="358"/>
      <c r="H378" s="358"/>
      <c r="I378" s="358"/>
      <c r="J378" s="358"/>
      <c r="K378" s="1137">
        <f t="shared" si="25"/>
        <v>111</v>
      </c>
      <c r="L378" s="602">
        <v>3456539.8471280001</v>
      </c>
      <c r="M378" s="1136">
        <v>111</v>
      </c>
      <c r="N378" s="358"/>
      <c r="O378" s="358"/>
      <c r="P378" s="358"/>
      <c r="Q378" s="358"/>
      <c r="R378" s="358"/>
      <c r="S378" s="358"/>
      <c r="T378" s="358"/>
      <c r="U378" s="358"/>
      <c r="V378" s="1137">
        <f t="shared" si="42"/>
        <v>111</v>
      </c>
      <c r="W378" s="602">
        <v>3456539.8471280001</v>
      </c>
    </row>
    <row r="379" spans="1:23" x14ac:dyDescent="0.2">
      <c r="A379" s="1138" t="s">
        <v>20</v>
      </c>
      <c r="B379" s="1136">
        <v>2</v>
      </c>
      <c r="C379" s="358"/>
      <c r="D379" s="358"/>
      <c r="E379" s="358"/>
      <c r="F379" s="358"/>
      <c r="G379" s="358"/>
      <c r="H379" s="358"/>
      <c r="I379" s="358"/>
      <c r="J379" s="358"/>
      <c r="K379" s="1137">
        <f t="shared" si="25"/>
        <v>2</v>
      </c>
      <c r="L379" s="602">
        <v>58945.988240000006</v>
      </c>
      <c r="M379" s="1136">
        <v>2</v>
      </c>
      <c r="N379" s="358"/>
      <c r="O379" s="358"/>
      <c r="P379" s="358"/>
      <c r="Q379" s="358"/>
      <c r="R379" s="358"/>
      <c r="S379" s="358"/>
      <c r="T379" s="358"/>
      <c r="U379" s="358"/>
      <c r="V379" s="1137">
        <f t="shared" si="42"/>
        <v>2</v>
      </c>
      <c r="W379" s="602">
        <v>58945.988240000006</v>
      </c>
    </row>
    <row r="380" spans="1:23" x14ac:dyDescent="0.2">
      <c r="A380" s="1139" t="s">
        <v>1443</v>
      </c>
      <c r="B380" s="1136">
        <v>37</v>
      </c>
      <c r="C380" s="358"/>
      <c r="D380" s="358"/>
      <c r="E380" s="358"/>
      <c r="F380" s="358"/>
      <c r="G380" s="358"/>
      <c r="H380" s="358"/>
      <c r="I380" s="358"/>
      <c r="J380" s="358"/>
      <c r="K380" s="1137">
        <f t="shared" si="25"/>
        <v>37</v>
      </c>
      <c r="L380" s="602">
        <v>642702.05582400004</v>
      </c>
      <c r="M380" s="1136">
        <v>37</v>
      </c>
      <c r="N380" s="358"/>
      <c r="O380" s="358"/>
      <c r="P380" s="358"/>
      <c r="Q380" s="358"/>
      <c r="R380" s="358"/>
      <c r="S380" s="358"/>
      <c r="T380" s="358"/>
      <c r="U380" s="358"/>
      <c r="V380" s="1137">
        <f t="shared" si="42"/>
        <v>37</v>
      </c>
      <c r="W380" s="602">
        <v>642702.05582400004</v>
      </c>
    </row>
    <row r="381" spans="1:23" x14ac:dyDescent="0.2">
      <c r="A381" s="1130" t="s">
        <v>2832</v>
      </c>
      <c r="B381" s="1131">
        <f t="shared" ref="B381:L381" si="43">SUM(B382:B390)</f>
        <v>0</v>
      </c>
      <c r="C381" s="1132">
        <f t="shared" si="43"/>
        <v>0</v>
      </c>
      <c r="D381" s="1132">
        <f t="shared" si="43"/>
        <v>0</v>
      </c>
      <c r="E381" s="1132">
        <f t="shared" si="43"/>
        <v>0</v>
      </c>
      <c r="F381" s="1132">
        <f t="shared" si="43"/>
        <v>0</v>
      </c>
      <c r="G381" s="1132">
        <f t="shared" si="43"/>
        <v>0</v>
      </c>
      <c r="H381" s="1132">
        <f t="shared" si="43"/>
        <v>0</v>
      </c>
      <c r="I381" s="1132">
        <f t="shared" si="43"/>
        <v>0</v>
      </c>
      <c r="J381" s="1132">
        <f t="shared" si="43"/>
        <v>0</v>
      </c>
      <c r="K381" s="1133">
        <f>SUM(K382:K390)+D381</f>
        <v>0</v>
      </c>
      <c r="L381" s="1134">
        <f t="shared" si="43"/>
        <v>0</v>
      </c>
      <c r="M381" s="1131">
        <f t="shared" ref="M381" si="44">SUM(M382:M390)</f>
        <v>0</v>
      </c>
      <c r="N381" s="1132">
        <f t="shared" ref="N381:U381" si="45">SUM(N382:N390)</f>
        <v>0</v>
      </c>
      <c r="O381" s="1132">
        <f t="shared" si="45"/>
        <v>0</v>
      </c>
      <c r="P381" s="1132">
        <f t="shared" si="45"/>
        <v>0</v>
      </c>
      <c r="Q381" s="1132">
        <f t="shared" si="45"/>
        <v>0</v>
      </c>
      <c r="R381" s="1132">
        <f t="shared" si="45"/>
        <v>0</v>
      </c>
      <c r="S381" s="1132">
        <f t="shared" si="45"/>
        <v>0</v>
      </c>
      <c r="T381" s="1132">
        <f t="shared" si="45"/>
        <v>0</v>
      </c>
      <c r="U381" s="1132">
        <f t="shared" si="45"/>
        <v>0</v>
      </c>
      <c r="V381" s="1133">
        <f>SUM(V382:V390)+O381</f>
        <v>0</v>
      </c>
      <c r="W381" s="1134">
        <f t="shared" ref="W381" si="46">SUM(W382:W390)</f>
        <v>0</v>
      </c>
    </row>
    <row r="382" spans="1:23" x14ac:dyDescent="0.2">
      <c r="A382" s="1138" t="s">
        <v>2833</v>
      </c>
      <c r="B382" s="1140"/>
      <c r="C382" s="358"/>
      <c r="D382" s="358"/>
      <c r="E382" s="358"/>
      <c r="F382" s="358"/>
      <c r="G382" s="358"/>
      <c r="H382" s="358"/>
      <c r="I382" s="358"/>
      <c r="J382" s="358"/>
      <c r="K382" s="1137"/>
      <c r="L382" s="602">
        <v>0</v>
      </c>
      <c r="M382" s="1140"/>
      <c r="N382" s="358"/>
      <c r="O382" s="358"/>
      <c r="P382" s="358"/>
      <c r="Q382" s="358"/>
      <c r="R382" s="358"/>
      <c r="S382" s="358"/>
      <c r="T382" s="358"/>
      <c r="U382" s="358"/>
      <c r="V382" s="1137"/>
      <c r="W382" s="602">
        <v>0</v>
      </c>
    </row>
    <row r="383" spans="1:23" x14ac:dyDescent="0.2">
      <c r="A383" s="1138" t="s">
        <v>2834</v>
      </c>
      <c r="B383" s="1141"/>
      <c r="C383" s="358"/>
      <c r="D383" s="358"/>
      <c r="E383" s="358"/>
      <c r="F383" s="358"/>
      <c r="G383" s="358"/>
      <c r="H383" s="358"/>
      <c r="I383" s="358"/>
      <c r="J383" s="358"/>
      <c r="K383" s="1137"/>
      <c r="L383" s="602">
        <v>0</v>
      </c>
      <c r="M383" s="1141"/>
      <c r="N383" s="358"/>
      <c r="O383" s="358"/>
      <c r="P383" s="358"/>
      <c r="Q383" s="358"/>
      <c r="R383" s="358"/>
      <c r="S383" s="358"/>
      <c r="T383" s="358"/>
      <c r="U383" s="358"/>
      <c r="V383" s="1137"/>
      <c r="W383" s="602">
        <v>0</v>
      </c>
    </row>
    <row r="384" spans="1:23" x14ac:dyDescent="0.2">
      <c r="A384" s="1138">
        <v>12</v>
      </c>
      <c r="B384" s="1136"/>
      <c r="C384" s="358"/>
      <c r="D384" s="358"/>
      <c r="E384" s="358"/>
      <c r="F384" s="358"/>
      <c r="G384" s="358"/>
      <c r="H384" s="358"/>
      <c r="I384" s="358"/>
      <c r="J384" s="358"/>
      <c r="K384" s="1137"/>
      <c r="L384" s="602">
        <v>0</v>
      </c>
      <c r="M384" s="1136"/>
      <c r="N384" s="358"/>
      <c r="O384" s="358"/>
      <c r="P384" s="358"/>
      <c r="Q384" s="358"/>
      <c r="R384" s="358"/>
      <c r="S384" s="358"/>
      <c r="T384" s="358"/>
      <c r="U384" s="358"/>
      <c r="V384" s="1137"/>
      <c r="W384" s="602">
        <v>0</v>
      </c>
    </row>
    <row r="385" spans="1:23" x14ac:dyDescent="0.2">
      <c r="A385" s="1138">
        <v>11</v>
      </c>
      <c r="B385" s="1136"/>
      <c r="C385" s="358"/>
      <c r="D385" s="358"/>
      <c r="E385" s="358"/>
      <c r="F385" s="358"/>
      <c r="G385" s="358"/>
      <c r="H385" s="358"/>
      <c r="I385" s="358"/>
      <c r="J385" s="358"/>
      <c r="K385" s="1137"/>
      <c r="L385" s="602">
        <v>0</v>
      </c>
      <c r="M385" s="1136"/>
      <c r="N385" s="358"/>
      <c r="O385" s="358"/>
      <c r="P385" s="358"/>
      <c r="Q385" s="358"/>
      <c r="R385" s="358"/>
      <c r="S385" s="358"/>
      <c r="T385" s="358"/>
      <c r="U385" s="358"/>
      <c r="V385" s="1137"/>
      <c r="W385" s="602">
        <v>0</v>
      </c>
    </row>
    <row r="386" spans="1:23" x14ac:dyDescent="0.2">
      <c r="A386" s="1138">
        <v>10</v>
      </c>
      <c r="B386" s="1136"/>
      <c r="C386" s="358"/>
      <c r="D386" s="358"/>
      <c r="E386" s="358"/>
      <c r="F386" s="358"/>
      <c r="G386" s="358"/>
      <c r="H386" s="358"/>
      <c r="I386" s="358"/>
      <c r="J386" s="358"/>
      <c r="K386" s="1137"/>
      <c r="L386" s="602">
        <v>0</v>
      </c>
      <c r="M386" s="1136"/>
      <c r="N386" s="358"/>
      <c r="O386" s="358"/>
      <c r="P386" s="358"/>
      <c r="Q386" s="358"/>
      <c r="R386" s="358"/>
      <c r="S386" s="358"/>
      <c r="T386" s="358"/>
      <c r="U386" s="358"/>
      <c r="V386" s="1137"/>
      <c r="W386" s="602">
        <v>0</v>
      </c>
    </row>
    <row r="387" spans="1:23" x14ac:dyDescent="0.2">
      <c r="A387" s="1142" t="s">
        <v>2835</v>
      </c>
      <c r="B387" s="1136"/>
      <c r="C387" s="358"/>
      <c r="D387" s="358"/>
      <c r="E387" s="358"/>
      <c r="F387" s="358"/>
      <c r="G387" s="358"/>
      <c r="H387" s="358"/>
      <c r="I387" s="358"/>
      <c r="J387" s="358"/>
      <c r="K387" s="1137"/>
      <c r="L387" s="602">
        <v>0</v>
      </c>
      <c r="M387" s="1136"/>
      <c r="N387" s="358"/>
      <c r="O387" s="358"/>
      <c r="P387" s="358"/>
      <c r="Q387" s="358"/>
      <c r="R387" s="358"/>
      <c r="S387" s="358"/>
      <c r="T387" s="358"/>
      <c r="U387" s="358"/>
      <c r="V387" s="1137"/>
      <c r="W387" s="602">
        <v>0</v>
      </c>
    </row>
    <row r="388" spans="1:23" x14ac:dyDescent="0.2">
      <c r="A388" s="1142" t="s">
        <v>2836</v>
      </c>
      <c r="B388" s="1136"/>
      <c r="C388" s="358"/>
      <c r="D388" s="358"/>
      <c r="E388" s="358"/>
      <c r="F388" s="358"/>
      <c r="G388" s="358"/>
      <c r="H388" s="358"/>
      <c r="I388" s="358"/>
      <c r="J388" s="358"/>
      <c r="K388" s="1137"/>
      <c r="L388" s="602">
        <v>0</v>
      </c>
      <c r="M388" s="1136"/>
      <c r="N388" s="358"/>
      <c r="O388" s="358"/>
      <c r="P388" s="358"/>
      <c r="Q388" s="358"/>
      <c r="R388" s="358"/>
      <c r="S388" s="358"/>
      <c r="T388" s="358"/>
      <c r="U388" s="358"/>
      <c r="V388" s="1137"/>
      <c r="W388" s="602">
        <v>0</v>
      </c>
    </row>
    <row r="389" spans="1:23" x14ac:dyDescent="0.2">
      <c r="A389" s="1142" t="s">
        <v>2837</v>
      </c>
      <c r="B389" s="1136"/>
      <c r="C389" s="358"/>
      <c r="D389" s="358"/>
      <c r="E389" s="358"/>
      <c r="F389" s="358"/>
      <c r="G389" s="358"/>
      <c r="H389" s="358"/>
      <c r="I389" s="358"/>
      <c r="J389" s="358"/>
      <c r="K389" s="1137"/>
      <c r="L389" s="602">
        <v>0</v>
      </c>
      <c r="M389" s="1136"/>
      <c r="N389" s="358"/>
      <c r="O389" s="358"/>
      <c r="P389" s="358"/>
      <c r="Q389" s="358"/>
      <c r="R389" s="358"/>
      <c r="S389" s="358"/>
      <c r="T389" s="358"/>
      <c r="U389" s="358"/>
      <c r="V389" s="1137"/>
      <c r="W389" s="602">
        <v>0</v>
      </c>
    </row>
    <row r="390" spans="1:23" x14ac:dyDescent="0.2">
      <c r="A390" s="1142" t="s">
        <v>2838</v>
      </c>
      <c r="B390" s="1136"/>
      <c r="C390" s="358"/>
      <c r="D390" s="358"/>
      <c r="E390" s="358"/>
      <c r="F390" s="358"/>
      <c r="G390" s="358"/>
      <c r="H390" s="358"/>
      <c r="I390" s="358"/>
      <c r="J390" s="358"/>
      <c r="K390" s="1137"/>
      <c r="L390" s="602">
        <v>0</v>
      </c>
      <c r="M390" s="1136"/>
      <c r="N390" s="358"/>
      <c r="O390" s="358"/>
      <c r="P390" s="358"/>
      <c r="Q390" s="358"/>
      <c r="R390" s="358"/>
      <c r="S390" s="358"/>
      <c r="T390" s="358"/>
      <c r="U390" s="358"/>
      <c r="V390" s="1137"/>
      <c r="W390" s="602">
        <v>0</v>
      </c>
    </row>
    <row r="391" spans="1:23" x14ac:dyDescent="0.2">
      <c r="A391" s="1130" t="s">
        <v>1834</v>
      </c>
      <c r="B391" s="1131">
        <f t="shared" ref="B391:C391" si="47">SUM(B392:B396)</f>
        <v>289</v>
      </c>
      <c r="C391" s="1132">
        <f t="shared" si="47"/>
        <v>0</v>
      </c>
      <c r="D391" s="1132">
        <v>48</v>
      </c>
      <c r="E391" s="1132">
        <v>0</v>
      </c>
      <c r="F391" s="1132">
        <f t="shared" ref="F391:J391" si="48">SUM(F392:F396)</f>
        <v>0</v>
      </c>
      <c r="G391" s="1132">
        <f t="shared" si="48"/>
        <v>0</v>
      </c>
      <c r="H391" s="1132">
        <f t="shared" si="48"/>
        <v>0</v>
      </c>
      <c r="I391" s="1132">
        <f t="shared" si="48"/>
        <v>0</v>
      </c>
      <c r="J391" s="1132">
        <f t="shared" si="48"/>
        <v>259</v>
      </c>
      <c r="K391" s="1133">
        <f>SUM(K392:K396)+D391</f>
        <v>596</v>
      </c>
      <c r="L391" s="1134">
        <f>SUM(L392:L396)+3460800</f>
        <v>31282392.254919998</v>
      </c>
      <c r="M391" s="1131">
        <f t="shared" ref="M391" si="49">SUM(M392:M396)</f>
        <v>289</v>
      </c>
      <c r="N391" s="1132">
        <f t="shared" ref="N391" si="50">SUM(N392:N396)</f>
        <v>0</v>
      </c>
      <c r="O391" s="1132">
        <v>48</v>
      </c>
      <c r="P391" s="1132">
        <v>0</v>
      </c>
      <c r="Q391" s="1132">
        <f t="shared" ref="Q391:U391" si="51">SUM(Q392:Q396)</f>
        <v>0</v>
      </c>
      <c r="R391" s="1132">
        <f t="shared" si="51"/>
        <v>0</v>
      </c>
      <c r="S391" s="1132">
        <f t="shared" si="51"/>
        <v>0</v>
      </c>
      <c r="T391" s="1132">
        <f t="shared" si="51"/>
        <v>0</v>
      </c>
      <c r="U391" s="1132">
        <f t="shared" si="51"/>
        <v>259</v>
      </c>
      <c r="V391" s="1133">
        <f>SUM(V392:V396)+O391</f>
        <v>596</v>
      </c>
      <c r="W391" s="1134">
        <f>SUM(W392:W396)+3460800</f>
        <v>31282392.254919998</v>
      </c>
    </row>
    <row r="392" spans="1:23" x14ac:dyDescent="0.2">
      <c r="A392" s="1135" t="s">
        <v>2839</v>
      </c>
      <c r="B392" s="1136">
        <v>97</v>
      </c>
      <c r="C392" s="358"/>
      <c r="D392" s="358"/>
      <c r="E392" s="358"/>
      <c r="F392" s="358"/>
      <c r="G392" s="358"/>
      <c r="H392" s="358"/>
      <c r="I392" s="358"/>
      <c r="J392" s="1137">
        <f>2+252</f>
        <v>254</v>
      </c>
      <c r="K392" s="1137">
        <f t="shared" ref="K392:K435" si="52">SUM(B392:J392)</f>
        <v>351</v>
      </c>
      <c r="L392" s="602">
        <v>7612974.3839999996</v>
      </c>
      <c r="M392" s="1136">
        <v>97</v>
      </c>
      <c r="N392" s="358"/>
      <c r="O392" s="358"/>
      <c r="P392" s="358"/>
      <c r="Q392" s="358"/>
      <c r="R392" s="358"/>
      <c r="S392" s="358"/>
      <c r="T392" s="358"/>
      <c r="U392" s="1137">
        <f>2+252</f>
        <v>254</v>
      </c>
      <c r="V392" s="1137">
        <f t="shared" ref="V392:V396" si="53">SUM(M392:U392)</f>
        <v>351</v>
      </c>
      <c r="W392" s="602">
        <v>7612974.3839999996</v>
      </c>
    </row>
    <row r="393" spans="1:23" x14ac:dyDescent="0.2">
      <c r="A393" s="1138" t="s">
        <v>2840</v>
      </c>
      <c r="B393" s="1136">
        <v>13</v>
      </c>
      <c r="C393" s="358"/>
      <c r="D393" s="358"/>
      <c r="E393" s="358"/>
      <c r="F393" s="358"/>
      <c r="G393" s="358"/>
      <c r="H393" s="358"/>
      <c r="I393" s="358"/>
      <c r="J393" s="1137">
        <v>2</v>
      </c>
      <c r="K393" s="1137">
        <f t="shared" si="52"/>
        <v>15</v>
      </c>
      <c r="L393" s="602">
        <v>1222237.76464</v>
      </c>
      <c r="M393" s="1136">
        <v>13</v>
      </c>
      <c r="N393" s="358"/>
      <c r="O393" s="358"/>
      <c r="P393" s="358"/>
      <c r="Q393" s="358"/>
      <c r="R393" s="358"/>
      <c r="S393" s="358"/>
      <c r="T393" s="358"/>
      <c r="U393" s="1137">
        <v>2</v>
      </c>
      <c r="V393" s="1137">
        <f t="shared" si="53"/>
        <v>15</v>
      </c>
      <c r="W393" s="602">
        <v>1222237.76464</v>
      </c>
    </row>
    <row r="394" spans="1:23" x14ac:dyDescent="0.2">
      <c r="A394" s="1138" t="s">
        <v>2841</v>
      </c>
      <c r="B394" s="1136">
        <v>31</v>
      </c>
      <c r="C394" s="488"/>
      <c r="D394" s="488"/>
      <c r="E394" s="488"/>
      <c r="F394" s="488"/>
      <c r="G394" s="488"/>
      <c r="H394" s="488"/>
      <c r="I394" s="488"/>
      <c r="J394" s="1143"/>
      <c r="K394" s="1137">
        <f t="shared" si="52"/>
        <v>31</v>
      </c>
      <c r="L394" s="602">
        <v>2938455.0713599999</v>
      </c>
      <c r="M394" s="1136">
        <v>31</v>
      </c>
      <c r="N394" s="488"/>
      <c r="O394" s="488"/>
      <c r="P394" s="488"/>
      <c r="Q394" s="488"/>
      <c r="R394" s="488"/>
      <c r="S394" s="488"/>
      <c r="T394" s="488"/>
      <c r="U394" s="1143"/>
      <c r="V394" s="1137">
        <f t="shared" si="53"/>
        <v>31</v>
      </c>
      <c r="W394" s="602">
        <v>2938455.0713599999</v>
      </c>
    </row>
    <row r="395" spans="1:23" x14ac:dyDescent="0.2">
      <c r="A395" s="1138" t="s">
        <v>2842</v>
      </c>
      <c r="B395" s="1136">
        <v>1</v>
      </c>
      <c r="C395" s="488"/>
      <c r="D395" s="488"/>
      <c r="E395" s="488"/>
      <c r="F395" s="488"/>
      <c r="G395" s="488"/>
      <c r="H395" s="488"/>
      <c r="I395" s="488"/>
      <c r="J395" s="1143"/>
      <c r="K395" s="1137">
        <f t="shared" si="52"/>
        <v>1</v>
      </c>
      <c r="L395" s="602">
        <v>286685.89572000003</v>
      </c>
      <c r="M395" s="1136">
        <v>1</v>
      </c>
      <c r="N395" s="488"/>
      <c r="O395" s="488"/>
      <c r="P395" s="488"/>
      <c r="Q395" s="488"/>
      <c r="R395" s="488"/>
      <c r="S395" s="488"/>
      <c r="T395" s="488"/>
      <c r="U395" s="1143"/>
      <c r="V395" s="1137">
        <f t="shared" si="53"/>
        <v>1</v>
      </c>
      <c r="W395" s="602">
        <v>286685.89572000003</v>
      </c>
    </row>
    <row r="396" spans="1:23" x14ac:dyDescent="0.2">
      <c r="A396" s="1139" t="s">
        <v>2843</v>
      </c>
      <c r="B396" s="1136">
        <v>147</v>
      </c>
      <c r="C396" s="488"/>
      <c r="D396" s="488"/>
      <c r="E396" s="488"/>
      <c r="F396" s="488"/>
      <c r="G396" s="488"/>
      <c r="H396" s="488"/>
      <c r="I396" s="488"/>
      <c r="J396" s="1137">
        <v>3</v>
      </c>
      <c r="K396" s="1137">
        <f t="shared" si="52"/>
        <v>150</v>
      </c>
      <c r="L396" s="602">
        <v>15761239.1392</v>
      </c>
      <c r="M396" s="1136">
        <v>147</v>
      </c>
      <c r="N396" s="488"/>
      <c r="O396" s="488"/>
      <c r="P396" s="488"/>
      <c r="Q396" s="488"/>
      <c r="R396" s="488"/>
      <c r="S396" s="488"/>
      <c r="T396" s="488"/>
      <c r="U396" s="1137">
        <v>3</v>
      </c>
      <c r="V396" s="1137">
        <f t="shared" si="53"/>
        <v>150</v>
      </c>
      <c r="W396" s="602">
        <v>15761239.1392</v>
      </c>
    </row>
    <row r="397" spans="1:23" x14ac:dyDescent="0.2">
      <c r="A397" s="1130" t="s">
        <v>2844</v>
      </c>
      <c r="B397" s="1131">
        <f t="shared" ref="B397:C397" si="54">SUM(B398:B402)</f>
        <v>361</v>
      </c>
      <c r="C397" s="1132">
        <f t="shared" si="54"/>
        <v>0</v>
      </c>
      <c r="D397" s="1132">
        <v>77</v>
      </c>
      <c r="E397" s="1132">
        <v>0</v>
      </c>
      <c r="F397" s="1132">
        <f t="shared" ref="F397:J397" si="55">SUM(F398:F402)</f>
        <v>0</v>
      </c>
      <c r="G397" s="1132">
        <f t="shared" si="55"/>
        <v>0</v>
      </c>
      <c r="H397" s="1132">
        <f t="shared" si="55"/>
        <v>0</v>
      </c>
      <c r="I397" s="1132">
        <f t="shared" si="55"/>
        <v>0</v>
      </c>
      <c r="J397" s="1132">
        <f t="shared" si="55"/>
        <v>3</v>
      </c>
      <c r="K397" s="1133">
        <f>SUM(K398:K402)+D397</f>
        <v>441</v>
      </c>
      <c r="L397" s="1134">
        <f>SUM(L398:L402)+2079000</f>
        <v>21996515.72924</v>
      </c>
      <c r="M397" s="1131">
        <f t="shared" ref="M397" si="56">SUM(M398:M402)</f>
        <v>361</v>
      </c>
      <c r="N397" s="1132">
        <f t="shared" ref="N397" si="57">SUM(N398:N402)</f>
        <v>0</v>
      </c>
      <c r="O397" s="1132">
        <v>77</v>
      </c>
      <c r="P397" s="1132">
        <v>0</v>
      </c>
      <c r="Q397" s="1132">
        <f t="shared" ref="Q397:U397" si="58">SUM(Q398:Q402)</f>
        <v>0</v>
      </c>
      <c r="R397" s="1132">
        <f t="shared" si="58"/>
        <v>0</v>
      </c>
      <c r="S397" s="1132">
        <f t="shared" si="58"/>
        <v>0</v>
      </c>
      <c r="T397" s="1132">
        <f t="shared" si="58"/>
        <v>0</v>
      </c>
      <c r="U397" s="1132">
        <f t="shared" si="58"/>
        <v>3</v>
      </c>
      <c r="V397" s="1133">
        <f>SUM(V398:V402)+O397</f>
        <v>441</v>
      </c>
      <c r="W397" s="1134">
        <f>SUM(W398:W402)+2079000</f>
        <v>21996515.72924</v>
      </c>
    </row>
    <row r="398" spans="1:23" x14ac:dyDescent="0.2">
      <c r="A398" s="1135" t="s">
        <v>2845</v>
      </c>
      <c r="B398" s="1136">
        <v>174</v>
      </c>
      <c r="C398" s="488"/>
      <c r="D398" s="488"/>
      <c r="E398" s="488"/>
      <c r="F398" s="488"/>
      <c r="G398" s="488"/>
      <c r="H398" s="488"/>
      <c r="I398" s="488"/>
      <c r="J398" s="1137">
        <v>1</v>
      </c>
      <c r="K398" s="1137">
        <f t="shared" si="52"/>
        <v>175</v>
      </c>
      <c r="L398" s="602">
        <v>7617520.8080799999</v>
      </c>
      <c r="M398" s="1136">
        <v>174</v>
      </c>
      <c r="N398" s="488"/>
      <c r="O398" s="488"/>
      <c r="P398" s="488"/>
      <c r="Q398" s="488"/>
      <c r="R398" s="488"/>
      <c r="S398" s="488"/>
      <c r="T398" s="488"/>
      <c r="U398" s="1137">
        <v>1</v>
      </c>
      <c r="V398" s="1137">
        <f t="shared" ref="V398:V402" si="59">SUM(M398:U398)</f>
        <v>175</v>
      </c>
      <c r="W398" s="602">
        <v>7617520.8080799999</v>
      </c>
    </row>
    <row r="399" spans="1:23" x14ac:dyDescent="0.2">
      <c r="A399" s="1138" t="s">
        <v>2846</v>
      </c>
      <c r="B399" s="1136">
        <v>32</v>
      </c>
      <c r="C399" s="488"/>
      <c r="D399" s="488"/>
      <c r="E399" s="488"/>
      <c r="F399" s="488"/>
      <c r="G399" s="488"/>
      <c r="H399" s="488"/>
      <c r="I399" s="488"/>
      <c r="J399" s="1137">
        <v>1</v>
      </c>
      <c r="K399" s="1137">
        <f t="shared" si="52"/>
        <v>33</v>
      </c>
      <c r="L399" s="602">
        <v>1821392.4382</v>
      </c>
      <c r="M399" s="1136">
        <v>32</v>
      </c>
      <c r="N399" s="488"/>
      <c r="O399" s="488"/>
      <c r="P399" s="488"/>
      <c r="Q399" s="488"/>
      <c r="R399" s="488"/>
      <c r="S399" s="488"/>
      <c r="T399" s="488"/>
      <c r="U399" s="1137">
        <v>1</v>
      </c>
      <c r="V399" s="1137">
        <f t="shared" si="59"/>
        <v>33</v>
      </c>
      <c r="W399" s="602">
        <v>1821392.4382</v>
      </c>
    </row>
    <row r="400" spans="1:23" x14ac:dyDescent="0.2">
      <c r="A400" s="1138" t="s">
        <v>2847</v>
      </c>
      <c r="B400" s="1136">
        <v>12</v>
      </c>
      <c r="C400" s="488"/>
      <c r="D400" s="488"/>
      <c r="E400" s="488"/>
      <c r="F400" s="488"/>
      <c r="G400" s="488"/>
      <c r="H400" s="488"/>
      <c r="I400" s="488"/>
      <c r="J400" s="1137"/>
      <c r="K400" s="1137">
        <f t="shared" si="52"/>
        <v>12</v>
      </c>
      <c r="L400" s="602">
        <v>774898.56579999987</v>
      </c>
      <c r="M400" s="1136">
        <v>12</v>
      </c>
      <c r="N400" s="488"/>
      <c r="O400" s="488"/>
      <c r="P400" s="488"/>
      <c r="Q400" s="488"/>
      <c r="R400" s="488"/>
      <c r="S400" s="488"/>
      <c r="T400" s="488"/>
      <c r="U400" s="1137"/>
      <c r="V400" s="1137">
        <f t="shared" si="59"/>
        <v>12</v>
      </c>
      <c r="W400" s="602">
        <v>774898.56579999987</v>
      </c>
    </row>
    <row r="401" spans="1:23" x14ac:dyDescent="0.2">
      <c r="A401" s="1138" t="s">
        <v>2848</v>
      </c>
      <c r="B401" s="1136">
        <v>1</v>
      </c>
      <c r="C401" s="488"/>
      <c r="D401" s="488"/>
      <c r="E401" s="488"/>
      <c r="F401" s="488"/>
      <c r="G401" s="488"/>
      <c r="H401" s="488"/>
      <c r="I401" s="488"/>
      <c r="J401" s="1137"/>
      <c r="K401" s="1137">
        <f t="shared" si="52"/>
        <v>1</v>
      </c>
      <c r="L401" s="602">
        <v>198242.02487999998</v>
      </c>
      <c r="M401" s="1136">
        <v>1</v>
      </c>
      <c r="N401" s="488"/>
      <c r="O401" s="488"/>
      <c r="P401" s="488"/>
      <c r="Q401" s="488"/>
      <c r="R401" s="488"/>
      <c r="S401" s="488"/>
      <c r="T401" s="488"/>
      <c r="U401" s="1137"/>
      <c r="V401" s="1137">
        <f t="shared" si="59"/>
        <v>1</v>
      </c>
      <c r="W401" s="602">
        <v>198242.02487999998</v>
      </c>
    </row>
    <row r="402" spans="1:23" x14ac:dyDescent="0.2">
      <c r="A402" s="1139" t="s">
        <v>2849</v>
      </c>
      <c r="B402" s="1136">
        <v>142</v>
      </c>
      <c r="C402" s="488"/>
      <c r="D402" s="488"/>
      <c r="E402" s="488"/>
      <c r="F402" s="488"/>
      <c r="G402" s="488"/>
      <c r="H402" s="488"/>
      <c r="I402" s="488"/>
      <c r="J402" s="1137">
        <v>1</v>
      </c>
      <c r="K402" s="1137">
        <f t="shared" si="52"/>
        <v>143</v>
      </c>
      <c r="L402" s="602">
        <v>9505461.8922799993</v>
      </c>
      <c r="M402" s="1136">
        <v>142</v>
      </c>
      <c r="N402" s="488"/>
      <c r="O402" s="488"/>
      <c r="P402" s="488"/>
      <c r="Q402" s="488"/>
      <c r="R402" s="488"/>
      <c r="S402" s="488"/>
      <c r="T402" s="488"/>
      <c r="U402" s="1137">
        <v>1</v>
      </c>
      <c r="V402" s="1137">
        <f t="shared" si="59"/>
        <v>143</v>
      </c>
      <c r="W402" s="602">
        <v>9505461.8922799993</v>
      </c>
    </row>
    <row r="403" spans="1:23" x14ac:dyDescent="0.2">
      <c r="A403" s="1130" t="s">
        <v>2350</v>
      </c>
      <c r="B403" s="1131">
        <f t="shared" ref="B403:C403" si="60">SUM(B404:B408)</f>
        <v>32</v>
      </c>
      <c r="C403" s="1132">
        <f t="shared" si="60"/>
        <v>0</v>
      </c>
      <c r="D403" s="1132">
        <v>2</v>
      </c>
      <c r="E403" s="1132">
        <v>0</v>
      </c>
      <c r="F403" s="1132">
        <f t="shared" ref="F403:J403" si="61">SUM(F404:F408)</f>
        <v>0</v>
      </c>
      <c r="G403" s="1132">
        <f t="shared" si="61"/>
        <v>0</v>
      </c>
      <c r="H403" s="1132">
        <f t="shared" si="61"/>
        <v>0</v>
      </c>
      <c r="I403" s="1132">
        <f t="shared" si="61"/>
        <v>0</v>
      </c>
      <c r="J403" s="1132">
        <f t="shared" si="61"/>
        <v>0</v>
      </c>
      <c r="K403" s="1133">
        <f>SUM(K404:K408)+D403</f>
        <v>34</v>
      </c>
      <c r="L403" s="1134">
        <f>SUM(L404:L408)+54000</f>
        <v>2033415.0917600002</v>
      </c>
      <c r="M403" s="1131">
        <f t="shared" ref="M403" si="62">SUM(M404:M408)</f>
        <v>32</v>
      </c>
      <c r="N403" s="1132">
        <f t="shared" ref="N403" si="63">SUM(N404:N408)</f>
        <v>0</v>
      </c>
      <c r="O403" s="1132">
        <v>2</v>
      </c>
      <c r="P403" s="1132">
        <v>0</v>
      </c>
      <c r="Q403" s="1132">
        <f t="shared" ref="Q403:U403" si="64">SUM(Q404:Q408)</f>
        <v>0</v>
      </c>
      <c r="R403" s="1132">
        <f t="shared" si="64"/>
        <v>0</v>
      </c>
      <c r="S403" s="1132">
        <f t="shared" si="64"/>
        <v>0</v>
      </c>
      <c r="T403" s="1132">
        <f t="shared" si="64"/>
        <v>0</v>
      </c>
      <c r="U403" s="1132">
        <f t="shared" si="64"/>
        <v>0</v>
      </c>
      <c r="V403" s="1133">
        <f>SUM(V404:V408)+O403</f>
        <v>34</v>
      </c>
      <c r="W403" s="1134">
        <f>SUM(W404:W408)+54000</f>
        <v>2033415.0917600002</v>
      </c>
    </row>
    <row r="404" spans="1:23" x14ac:dyDescent="0.2">
      <c r="A404" s="1138" t="s">
        <v>1499</v>
      </c>
      <c r="B404" s="1136">
        <v>3</v>
      </c>
      <c r="C404" s="488"/>
      <c r="D404" s="488"/>
      <c r="E404" s="488"/>
      <c r="F404" s="488"/>
      <c r="G404" s="488"/>
      <c r="H404" s="488"/>
      <c r="I404" s="488"/>
      <c r="J404" s="488"/>
      <c r="K404" s="1137">
        <f t="shared" si="52"/>
        <v>3</v>
      </c>
      <c r="L404" s="602">
        <v>135998.51027999999</v>
      </c>
      <c r="M404" s="1136">
        <v>3</v>
      </c>
      <c r="N404" s="488"/>
      <c r="O404" s="488"/>
      <c r="P404" s="488"/>
      <c r="Q404" s="488"/>
      <c r="R404" s="488"/>
      <c r="S404" s="488"/>
      <c r="T404" s="488"/>
      <c r="U404" s="488"/>
      <c r="V404" s="1137">
        <f t="shared" ref="V404:V408" si="65">SUM(M404:U404)</f>
        <v>3</v>
      </c>
      <c r="W404" s="602">
        <v>135998.51027999999</v>
      </c>
    </row>
    <row r="405" spans="1:23" x14ac:dyDescent="0.2">
      <c r="A405" s="1138" t="s">
        <v>1498</v>
      </c>
      <c r="B405" s="1136">
        <v>5</v>
      </c>
      <c r="C405" s="488"/>
      <c r="D405" s="488"/>
      <c r="E405" s="488"/>
      <c r="F405" s="488"/>
      <c r="G405" s="488"/>
      <c r="H405" s="488"/>
      <c r="I405" s="488"/>
      <c r="J405" s="488"/>
      <c r="K405" s="1137">
        <f t="shared" si="52"/>
        <v>5</v>
      </c>
      <c r="L405" s="602">
        <v>245435.201</v>
      </c>
      <c r="M405" s="1136">
        <v>5</v>
      </c>
      <c r="N405" s="488"/>
      <c r="O405" s="488"/>
      <c r="P405" s="488"/>
      <c r="Q405" s="488"/>
      <c r="R405" s="488"/>
      <c r="S405" s="488"/>
      <c r="T405" s="488"/>
      <c r="U405" s="488"/>
      <c r="V405" s="1137">
        <f t="shared" si="65"/>
        <v>5</v>
      </c>
      <c r="W405" s="602">
        <v>245435.201</v>
      </c>
    </row>
    <row r="406" spans="1:23" x14ac:dyDescent="0.2">
      <c r="A406" s="1138" t="s">
        <v>1497</v>
      </c>
      <c r="B406" s="1136">
        <v>2</v>
      </c>
      <c r="C406" s="488"/>
      <c r="D406" s="488"/>
      <c r="E406" s="488"/>
      <c r="F406" s="488"/>
      <c r="G406" s="488"/>
      <c r="H406" s="488"/>
      <c r="I406" s="488"/>
      <c r="J406" s="488"/>
      <c r="K406" s="1137">
        <f t="shared" si="52"/>
        <v>2</v>
      </c>
      <c r="L406" s="602">
        <v>128486.25320000001</v>
      </c>
      <c r="M406" s="1136">
        <v>2</v>
      </c>
      <c r="N406" s="488"/>
      <c r="O406" s="488"/>
      <c r="P406" s="488"/>
      <c r="Q406" s="488"/>
      <c r="R406" s="488"/>
      <c r="S406" s="488"/>
      <c r="T406" s="488"/>
      <c r="U406" s="488"/>
      <c r="V406" s="1137">
        <f t="shared" si="65"/>
        <v>2</v>
      </c>
      <c r="W406" s="602">
        <v>128486.25320000001</v>
      </c>
    </row>
    <row r="407" spans="1:23" x14ac:dyDescent="0.2">
      <c r="A407" s="1138" t="s">
        <v>1496</v>
      </c>
      <c r="B407" s="1136"/>
      <c r="C407" s="488"/>
      <c r="D407" s="488"/>
      <c r="E407" s="488"/>
      <c r="F407" s="488"/>
      <c r="G407" s="488"/>
      <c r="H407" s="488"/>
      <c r="I407" s="488"/>
      <c r="J407" s="488"/>
      <c r="K407" s="1137">
        <f t="shared" si="52"/>
        <v>0</v>
      </c>
      <c r="L407" s="602"/>
      <c r="M407" s="1136"/>
      <c r="N407" s="488"/>
      <c r="O407" s="488"/>
      <c r="P407" s="488"/>
      <c r="Q407" s="488"/>
      <c r="R407" s="488"/>
      <c r="S407" s="488"/>
      <c r="T407" s="488"/>
      <c r="U407" s="488"/>
      <c r="V407" s="1137">
        <f t="shared" si="65"/>
        <v>0</v>
      </c>
      <c r="W407" s="602"/>
    </row>
    <row r="408" spans="1:23" x14ac:dyDescent="0.2">
      <c r="A408" s="1139" t="s">
        <v>1495</v>
      </c>
      <c r="B408" s="1136">
        <v>22</v>
      </c>
      <c r="C408" s="488"/>
      <c r="D408" s="488"/>
      <c r="E408" s="488"/>
      <c r="F408" s="488"/>
      <c r="G408" s="488"/>
      <c r="H408" s="488"/>
      <c r="I408" s="488"/>
      <c r="J408" s="488"/>
      <c r="K408" s="1137">
        <f t="shared" si="52"/>
        <v>22</v>
      </c>
      <c r="L408" s="602">
        <v>1469495.1272800001</v>
      </c>
      <c r="M408" s="1136">
        <v>22</v>
      </c>
      <c r="N408" s="488"/>
      <c r="O408" s="488"/>
      <c r="P408" s="488"/>
      <c r="Q408" s="488"/>
      <c r="R408" s="488"/>
      <c r="S408" s="488"/>
      <c r="T408" s="488"/>
      <c r="U408" s="488"/>
      <c r="V408" s="1137">
        <f t="shared" si="65"/>
        <v>22</v>
      </c>
      <c r="W408" s="602">
        <v>1469495.1272800001</v>
      </c>
    </row>
    <row r="409" spans="1:23" x14ac:dyDescent="0.2">
      <c r="A409" s="1130" t="s">
        <v>1811</v>
      </c>
      <c r="B409" s="1131">
        <f t="shared" ref="B409:C409" si="66">SUM(B410:B414)</f>
        <v>8</v>
      </c>
      <c r="C409" s="1132">
        <f t="shared" si="66"/>
        <v>0</v>
      </c>
      <c r="D409" s="1132">
        <v>2</v>
      </c>
      <c r="E409" s="1132">
        <v>0</v>
      </c>
      <c r="F409" s="1132">
        <f t="shared" ref="F409:J409" si="67">SUM(F410:F414)</f>
        <v>0</v>
      </c>
      <c r="G409" s="1132">
        <f t="shared" si="67"/>
        <v>0</v>
      </c>
      <c r="H409" s="1132">
        <f t="shared" si="67"/>
        <v>0</v>
      </c>
      <c r="I409" s="1132">
        <f t="shared" si="67"/>
        <v>0</v>
      </c>
      <c r="J409" s="1132">
        <f t="shared" si="67"/>
        <v>0</v>
      </c>
      <c r="K409" s="1133">
        <f>SUM(K410:K414)+D409</f>
        <v>10</v>
      </c>
      <c r="L409" s="1134">
        <f>SUM(L410:L414)+57600</f>
        <v>418409.48647999996</v>
      </c>
      <c r="M409" s="1131">
        <f t="shared" ref="M409" si="68">SUM(M410:M414)</f>
        <v>8</v>
      </c>
      <c r="N409" s="1132">
        <f t="shared" ref="N409" si="69">SUM(N410:N414)</f>
        <v>0</v>
      </c>
      <c r="O409" s="1132">
        <v>2</v>
      </c>
      <c r="P409" s="1132">
        <v>0</v>
      </c>
      <c r="Q409" s="1132">
        <f t="shared" ref="Q409:U409" si="70">SUM(Q410:Q414)</f>
        <v>0</v>
      </c>
      <c r="R409" s="1132">
        <f t="shared" si="70"/>
        <v>0</v>
      </c>
      <c r="S409" s="1132">
        <f t="shared" si="70"/>
        <v>0</v>
      </c>
      <c r="T409" s="1132">
        <f t="shared" si="70"/>
        <v>0</v>
      </c>
      <c r="U409" s="1132">
        <f t="shared" si="70"/>
        <v>0</v>
      </c>
      <c r="V409" s="1133">
        <f>SUM(V410:V414)+O409</f>
        <v>10</v>
      </c>
      <c r="W409" s="1134">
        <f>SUM(W410:W414)+57600</f>
        <v>418409.48647999996</v>
      </c>
    </row>
    <row r="410" spans="1:23" x14ac:dyDescent="0.2">
      <c r="A410" s="1135" t="s">
        <v>1499</v>
      </c>
      <c r="B410" s="1136">
        <v>3</v>
      </c>
      <c r="C410" s="488"/>
      <c r="D410" s="488"/>
      <c r="E410" s="488"/>
      <c r="F410" s="488"/>
      <c r="G410" s="488"/>
      <c r="H410" s="488"/>
      <c r="I410" s="488"/>
      <c r="J410" s="488"/>
      <c r="K410" s="1137">
        <f t="shared" si="52"/>
        <v>3</v>
      </c>
      <c r="L410" s="602">
        <v>116757.83027999999</v>
      </c>
      <c r="M410" s="1136">
        <v>3</v>
      </c>
      <c r="N410" s="488"/>
      <c r="O410" s="488"/>
      <c r="P410" s="488"/>
      <c r="Q410" s="488"/>
      <c r="R410" s="488"/>
      <c r="S410" s="488"/>
      <c r="T410" s="488"/>
      <c r="U410" s="488"/>
      <c r="V410" s="1137">
        <f t="shared" ref="V410:V414" si="71">SUM(M410:U410)</f>
        <v>3</v>
      </c>
      <c r="W410" s="602">
        <v>116757.83027999999</v>
      </c>
    </row>
    <row r="411" spans="1:23" x14ac:dyDescent="0.2">
      <c r="A411" s="1138" t="s">
        <v>1498</v>
      </c>
      <c r="B411" s="1136"/>
      <c r="C411" s="488"/>
      <c r="D411" s="488"/>
      <c r="E411" s="488"/>
      <c r="F411" s="488"/>
      <c r="G411" s="488"/>
      <c r="H411" s="488"/>
      <c r="I411" s="488"/>
      <c r="J411" s="488"/>
      <c r="K411" s="1137">
        <f t="shared" si="52"/>
        <v>0</v>
      </c>
      <c r="L411" s="602"/>
      <c r="M411" s="1136"/>
      <c r="N411" s="488"/>
      <c r="O411" s="488"/>
      <c r="P411" s="488"/>
      <c r="Q411" s="488"/>
      <c r="R411" s="488"/>
      <c r="S411" s="488"/>
      <c r="T411" s="488"/>
      <c r="U411" s="488"/>
      <c r="V411" s="1137">
        <f t="shared" si="71"/>
        <v>0</v>
      </c>
      <c r="W411" s="602"/>
    </row>
    <row r="412" spans="1:23" x14ac:dyDescent="0.2">
      <c r="A412" s="1138" t="s">
        <v>1497</v>
      </c>
      <c r="B412" s="1136"/>
      <c r="C412" s="488"/>
      <c r="D412" s="488"/>
      <c r="E412" s="488"/>
      <c r="F412" s="488"/>
      <c r="G412" s="488"/>
      <c r="H412" s="488"/>
      <c r="I412" s="488"/>
      <c r="J412" s="488"/>
      <c r="K412" s="1137">
        <f t="shared" si="52"/>
        <v>0</v>
      </c>
      <c r="L412" s="602"/>
      <c r="M412" s="1136"/>
      <c r="N412" s="488"/>
      <c r="O412" s="488"/>
      <c r="P412" s="488"/>
      <c r="Q412" s="488"/>
      <c r="R412" s="488"/>
      <c r="S412" s="488"/>
      <c r="T412" s="488"/>
      <c r="U412" s="488"/>
      <c r="V412" s="1137">
        <f t="shared" si="71"/>
        <v>0</v>
      </c>
      <c r="W412" s="602"/>
    </row>
    <row r="413" spans="1:23" x14ac:dyDescent="0.2">
      <c r="A413" s="1138" t="s">
        <v>1496</v>
      </c>
      <c r="B413" s="1136"/>
      <c r="C413" s="488"/>
      <c r="D413" s="488"/>
      <c r="E413" s="488"/>
      <c r="F413" s="488"/>
      <c r="G413" s="488"/>
      <c r="H413" s="488"/>
      <c r="I413" s="488"/>
      <c r="J413" s="488"/>
      <c r="K413" s="1137">
        <f t="shared" si="52"/>
        <v>0</v>
      </c>
      <c r="L413" s="602"/>
      <c r="M413" s="1136"/>
      <c r="N413" s="488"/>
      <c r="O413" s="488"/>
      <c r="P413" s="488"/>
      <c r="Q413" s="488"/>
      <c r="R413" s="488"/>
      <c r="S413" s="488"/>
      <c r="T413" s="488"/>
      <c r="U413" s="488"/>
      <c r="V413" s="1137">
        <f t="shared" si="71"/>
        <v>0</v>
      </c>
      <c r="W413" s="602"/>
    </row>
    <row r="414" spans="1:23" x14ac:dyDescent="0.2">
      <c r="A414" s="1139" t="s">
        <v>1495</v>
      </c>
      <c r="B414" s="1136">
        <v>5</v>
      </c>
      <c r="C414" s="488"/>
      <c r="D414" s="488"/>
      <c r="E414" s="488"/>
      <c r="F414" s="488"/>
      <c r="G414" s="488"/>
      <c r="H414" s="488"/>
      <c r="I414" s="488"/>
      <c r="J414" s="488"/>
      <c r="K414" s="1137">
        <f t="shared" si="52"/>
        <v>5</v>
      </c>
      <c r="L414" s="602">
        <v>244051.6562</v>
      </c>
      <c r="M414" s="1136">
        <v>5</v>
      </c>
      <c r="N414" s="488"/>
      <c r="O414" s="488"/>
      <c r="P414" s="488"/>
      <c r="Q414" s="488"/>
      <c r="R414" s="488"/>
      <c r="S414" s="488"/>
      <c r="T414" s="488"/>
      <c r="U414" s="488"/>
      <c r="V414" s="1137">
        <f t="shared" si="71"/>
        <v>5</v>
      </c>
      <c r="W414" s="602">
        <v>244051.6562</v>
      </c>
    </row>
    <row r="415" spans="1:23" x14ac:dyDescent="0.2">
      <c r="A415" s="1130" t="s">
        <v>1666</v>
      </c>
      <c r="B415" s="1131">
        <f t="shared" ref="B415:C415" si="72">SUM(B416:B420)</f>
        <v>64</v>
      </c>
      <c r="C415" s="1132">
        <f t="shared" si="72"/>
        <v>0</v>
      </c>
      <c r="D415" s="1132">
        <v>6</v>
      </c>
      <c r="E415" s="1132">
        <v>0</v>
      </c>
      <c r="F415" s="1132">
        <f t="shared" ref="F415:J415" si="73">SUM(F416:F420)</f>
        <v>0</v>
      </c>
      <c r="G415" s="1132">
        <f t="shared" si="73"/>
        <v>0</v>
      </c>
      <c r="H415" s="1132">
        <f t="shared" si="73"/>
        <v>0</v>
      </c>
      <c r="I415" s="1132">
        <f t="shared" si="73"/>
        <v>0</v>
      </c>
      <c r="J415" s="1132">
        <f t="shared" si="73"/>
        <v>1</v>
      </c>
      <c r="K415" s="1133">
        <f>SUM(K416:K420)+D415</f>
        <v>71</v>
      </c>
      <c r="L415" s="1134">
        <f>SUM(L416:L420)+162000</f>
        <v>3297804.6336000003</v>
      </c>
      <c r="M415" s="1131">
        <f t="shared" ref="M415" si="74">SUM(M416:M420)</f>
        <v>64</v>
      </c>
      <c r="N415" s="1132">
        <f t="shared" ref="N415" si="75">SUM(N416:N420)</f>
        <v>0</v>
      </c>
      <c r="O415" s="1132">
        <v>6</v>
      </c>
      <c r="P415" s="1132">
        <v>0</v>
      </c>
      <c r="Q415" s="1132">
        <f t="shared" ref="Q415:U415" si="76">SUM(Q416:Q420)</f>
        <v>0</v>
      </c>
      <c r="R415" s="1132">
        <f t="shared" si="76"/>
        <v>0</v>
      </c>
      <c r="S415" s="1132">
        <f t="shared" si="76"/>
        <v>0</v>
      </c>
      <c r="T415" s="1132">
        <f t="shared" si="76"/>
        <v>0</v>
      </c>
      <c r="U415" s="1132">
        <f t="shared" si="76"/>
        <v>1</v>
      </c>
      <c r="V415" s="1133">
        <f>SUM(V416:V420)+O415</f>
        <v>71</v>
      </c>
      <c r="W415" s="1134">
        <f>SUM(W416:W420)+162000</f>
        <v>3297804.6336000003</v>
      </c>
    </row>
    <row r="416" spans="1:23" x14ac:dyDescent="0.2">
      <c r="A416" s="1138">
        <v>1</v>
      </c>
      <c r="B416" s="1136">
        <v>40</v>
      </c>
      <c r="C416" s="488"/>
      <c r="D416" s="488"/>
      <c r="E416" s="488"/>
      <c r="F416" s="488"/>
      <c r="G416" s="488"/>
      <c r="H416" s="488"/>
      <c r="I416" s="488"/>
      <c r="J416" s="1137">
        <v>1</v>
      </c>
      <c r="K416" s="1137">
        <f t="shared" si="52"/>
        <v>41</v>
      </c>
      <c r="L416" s="602">
        <v>1609403.4768800004</v>
      </c>
      <c r="M416" s="1136">
        <v>40</v>
      </c>
      <c r="N416" s="488"/>
      <c r="O416" s="488"/>
      <c r="P416" s="488"/>
      <c r="Q416" s="488"/>
      <c r="R416" s="488"/>
      <c r="S416" s="488"/>
      <c r="T416" s="488"/>
      <c r="U416" s="1137">
        <v>1</v>
      </c>
      <c r="V416" s="1137">
        <f t="shared" ref="V416:V420" si="77">SUM(M416:U416)</f>
        <v>41</v>
      </c>
      <c r="W416" s="602">
        <v>1609403.4768800004</v>
      </c>
    </row>
    <row r="417" spans="1:23" x14ac:dyDescent="0.2">
      <c r="A417" s="1138">
        <v>2</v>
      </c>
      <c r="B417" s="1136">
        <v>4</v>
      </c>
      <c r="C417" s="488"/>
      <c r="D417" s="488"/>
      <c r="E417" s="488"/>
      <c r="F417" s="488"/>
      <c r="G417" s="488"/>
      <c r="H417" s="488"/>
      <c r="I417" s="488"/>
      <c r="J417" s="488"/>
      <c r="K417" s="1137">
        <f t="shared" si="52"/>
        <v>4</v>
      </c>
      <c r="L417" s="602">
        <v>235531.32880000002</v>
      </c>
      <c r="M417" s="1136">
        <v>4</v>
      </c>
      <c r="N417" s="488"/>
      <c r="O417" s="488"/>
      <c r="P417" s="488"/>
      <c r="Q417" s="488"/>
      <c r="R417" s="488"/>
      <c r="S417" s="488"/>
      <c r="T417" s="488"/>
      <c r="U417" s="488"/>
      <c r="V417" s="1137">
        <f t="shared" si="77"/>
        <v>4</v>
      </c>
      <c r="W417" s="602">
        <v>235531.32880000002</v>
      </c>
    </row>
    <row r="418" spans="1:23" x14ac:dyDescent="0.2">
      <c r="A418" s="1138">
        <v>3</v>
      </c>
      <c r="B418" s="1136">
        <v>2</v>
      </c>
      <c r="C418" s="488"/>
      <c r="D418" s="488"/>
      <c r="E418" s="488"/>
      <c r="F418" s="488"/>
      <c r="G418" s="488"/>
      <c r="H418" s="488"/>
      <c r="I418" s="488"/>
      <c r="J418" s="488"/>
      <c r="K418" s="1137">
        <f t="shared" si="52"/>
        <v>2</v>
      </c>
      <c r="L418" s="602">
        <v>98492.013200000001</v>
      </c>
      <c r="M418" s="1136">
        <v>2</v>
      </c>
      <c r="N418" s="488"/>
      <c r="O418" s="488"/>
      <c r="P418" s="488"/>
      <c r="Q418" s="488"/>
      <c r="R418" s="488"/>
      <c r="S418" s="488"/>
      <c r="T418" s="488"/>
      <c r="U418" s="488"/>
      <c r="V418" s="1137">
        <f t="shared" si="77"/>
        <v>2</v>
      </c>
      <c r="W418" s="602">
        <v>98492.013200000001</v>
      </c>
    </row>
    <row r="419" spans="1:23" x14ac:dyDescent="0.2">
      <c r="A419" s="1138">
        <v>4</v>
      </c>
      <c r="B419" s="1136">
        <v>1</v>
      </c>
      <c r="C419" s="488"/>
      <c r="D419" s="488"/>
      <c r="E419" s="488"/>
      <c r="F419" s="488"/>
      <c r="G419" s="488"/>
      <c r="H419" s="488"/>
      <c r="I419" s="488"/>
      <c r="J419" s="488"/>
      <c r="K419" s="1137">
        <f t="shared" si="52"/>
        <v>1</v>
      </c>
      <c r="L419" s="602">
        <v>128043.66992</v>
      </c>
      <c r="M419" s="1136">
        <v>1</v>
      </c>
      <c r="N419" s="488"/>
      <c r="O419" s="488"/>
      <c r="P419" s="488"/>
      <c r="Q419" s="488"/>
      <c r="R419" s="488"/>
      <c r="S419" s="488"/>
      <c r="T419" s="488"/>
      <c r="U419" s="488"/>
      <c r="V419" s="1137">
        <f t="shared" si="77"/>
        <v>1</v>
      </c>
      <c r="W419" s="602">
        <v>128043.66992</v>
      </c>
    </row>
    <row r="420" spans="1:23" x14ac:dyDescent="0.2">
      <c r="A420" s="1139">
        <v>5</v>
      </c>
      <c r="B420" s="1136">
        <v>17</v>
      </c>
      <c r="C420" s="488"/>
      <c r="D420" s="488"/>
      <c r="E420" s="488"/>
      <c r="F420" s="488"/>
      <c r="G420" s="488"/>
      <c r="H420" s="488"/>
      <c r="I420" s="488"/>
      <c r="J420" s="488"/>
      <c r="K420" s="1137">
        <f t="shared" si="52"/>
        <v>17</v>
      </c>
      <c r="L420" s="602">
        <v>1064334.1447999999</v>
      </c>
      <c r="M420" s="1136">
        <v>17</v>
      </c>
      <c r="N420" s="488"/>
      <c r="O420" s="488"/>
      <c r="P420" s="488"/>
      <c r="Q420" s="488"/>
      <c r="R420" s="488"/>
      <c r="S420" s="488"/>
      <c r="T420" s="488"/>
      <c r="U420" s="488"/>
      <c r="V420" s="1137">
        <f t="shared" si="77"/>
        <v>17</v>
      </c>
      <c r="W420" s="602">
        <v>1064334.1447999999</v>
      </c>
    </row>
    <row r="421" spans="1:23" x14ac:dyDescent="0.2">
      <c r="A421" s="1130" t="s">
        <v>650</v>
      </c>
      <c r="B421" s="1131">
        <f t="shared" ref="B421:L421" si="78">SUM(B422:B426)</f>
        <v>12</v>
      </c>
      <c r="C421" s="1132">
        <f t="shared" si="78"/>
        <v>0</v>
      </c>
      <c r="D421" s="1132">
        <f t="shared" si="78"/>
        <v>0</v>
      </c>
      <c r="E421" s="1132">
        <f t="shared" si="78"/>
        <v>0</v>
      </c>
      <c r="F421" s="1132">
        <f t="shared" si="78"/>
        <v>0</v>
      </c>
      <c r="G421" s="1132">
        <f t="shared" si="78"/>
        <v>0</v>
      </c>
      <c r="H421" s="1132">
        <f t="shared" si="78"/>
        <v>0</v>
      </c>
      <c r="I421" s="1132">
        <f t="shared" si="78"/>
        <v>0</v>
      </c>
      <c r="J421" s="1132">
        <f t="shared" si="78"/>
        <v>0</v>
      </c>
      <c r="K421" s="1133">
        <f>SUM(K422:K426)+D421</f>
        <v>12</v>
      </c>
      <c r="L421" s="1134">
        <f t="shared" si="78"/>
        <v>520373.10587999999</v>
      </c>
      <c r="M421" s="1131">
        <f t="shared" ref="M421" si="79">SUM(M422:M426)</f>
        <v>12</v>
      </c>
      <c r="N421" s="1132">
        <f t="shared" ref="N421:U421" si="80">SUM(N422:N426)</f>
        <v>0</v>
      </c>
      <c r="O421" s="1132">
        <f t="shared" si="80"/>
        <v>0</v>
      </c>
      <c r="P421" s="1132">
        <f t="shared" si="80"/>
        <v>0</v>
      </c>
      <c r="Q421" s="1132">
        <f t="shared" si="80"/>
        <v>0</v>
      </c>
      <c r="R421" s="1132">
        <f t="shared" si="80"/>
        <v>0</v>
      </c>
      <c r="S421" s="1132">
        <f t="shared" si="80"/>
        <v>0</v>
      </c>
      <c r="T421" s="1132">
        <f t="shared" si="80"/>
        <v>0</v>
      </c>
      <c r="U421" s="1132">
        <f t="shared" si="80"/>
        <v>0</v>
      </c>
      <c r="V421" s="1133">
        <f>SUM(V422:V426)+O421</f>
        <v>12</v>
      </c>
      <c r="W421" s="1134">
        <f t="shared" ref="W421" si="81">SUM(W422:W426)</f>
        <v>520373.10587999999</v>
      </c>
    </row>
    <row r="422" spans="1:23" x14ac:dyDescent="0.2">
      <c r="A422" s="1138" t="s">
        <v>1496</v>
      </c>
      <c r="B422" s="1136">
        <v>3</v>
      </c>
      <c r="C422" s="488"/>
      <c r="D422" s="488"/>
      <c r="E422" s="488"/>
      <c r="F422" s="488"/>
      <c r="G422" s="488"/>
      <c r="H422" s="488"/>
      <c r="I422" s="488"/>
      <c r="J422" s="488"/>
      <c r="K422" s="1137">
        <f t="shared" si="52"/>
        <v>3</v>
      </c>
      <c r="L422" s="602">
        <v>105957.83027999999</v>
      </c>
      <c r="M422" s="1136">
        <v>3</v>
      </c>
      <c r="N422" s="488"/>
      <c r="O422" s="488"/>
      <c r="P422" s="488"/>
      <c r="Q422" s="488"/>
      <c r="R422" s="488"/>
      <c r="S422" s="488"/>
      <c r="T422" s="488"/>
      <c r="U422" s="488"/>
      <c r="V422" s="1137">
        <f t="shared" ref="V422:V426" si="82">SUM(M422:U422)</f>
        <v>3</v>
      </c>
      <c r="W422" s="602">
        <v>105957.83027999999</v>
      </c>
    </row>
    <row r="423" spans="1:23" x14ac:dyDescent="0.2">
      <c r="A423" s="1138" t="s">
        <v>1495</v>
      </c>
      <c r="B423" s="1136"/>
      <c r="C423" s="488"/>
      <c r="D423" s="488"/>
      <c r="E423" s="488"/>
      <c r="F423" s="488"/>
      <c r="G423" s="488"/>
      <c r="H423" s="488"/>
      <c r="I423" s="488"/>
      <c r="J423" s="488"/>
      <c r="K423" s="1137">
        <f t="shared" si="52"/>
        <v>0</v>
      </c>
      <c r="L423" s="602"/>
      <c r="M423" s="1136"/>
      <c r="N423" s="488"/>
      <c r="O423" s="488"/>
      <c r="P423" s="488"/>
      <c r="Q423" s="488"/>
      <c r="R423" s="488"/>
      <c r="S423" s="488"/>
      <c r="T423" s="488"/>
      <c r="U423" s="488"/>
      <c r="V423" s="1137">
        <f t="shared" si="82"/>
        <v>0</v>
      </c>
      <c r="W423" s="602"/>
    </row>
    <row r="424" spans="1:23" x14ac:dyDescent="0.2">
      <c r="A424" s="1138" t="s">
        <v>1494</v>
      </c>
      <c r="B424" s="1136">
        <v>2</v>
      </c>
      <c r="C424" s="488"/>
      <c r="D424" s="488"/>
      <c r="E424" s="488"/>
      <c r="F424" s="488"/>
      <c r="G424" s="488"/>
      <c r="H424" s="488"/>
      <c r="I424" s="488"/>
      <c r="J424" s="488"/>
      <c r="K424" s="1137">
        <f t="shared" si="52"/>
        <v>2</v>
      </c>
      <c r="L424" s="602">
        <v>81512.493199999997</v>
      </c>
      <c r="M424" s="1136">
        <v>2</v>
      </c>
      <c r="N424" s="488"/>
      <c r="O424" s="488"/>
      <c r="P424" s="488"/>
      <c r="Q424" s="488"/>
      <c r="R424" s="488"/>
      <c r="S424" s="488"/>
      <c r="T424" s="488"/>
      <c r="U424" s="488"/>
      <c r="V424" s="1137">
        <f t="shared" si="82"/>
        <v>2</v>
      </c>
      <c r="W424" s="602">
        <v>81512.493199999997</v>
      </c>
    </row>
    <row r="425" spans="1:23" x14ac:dyDescent="0.2">
      <c r="A425" s="1138" t="s">
        <v>1493</v>
      </c>
      <c r="B425" s="1136">
        <v>1</v>
      </c>
      <c r="C425" s="488"/>
      <c r="D425" s="488"/>
      <c r="E425" s="488"/>
      <c r="F425" s="488"/>
      <c r="G425" s="488"/>
      <c r="H425" s="488"/>
      <c r="I425" s="488"/>
      <c r="J425" s="488"/>
      <c r="K425" s="1137">
        <f t="shared" si="52"/>
        <v>1</v>
      </c>
      <c r="L425" s="602">
        <v>43040.794959999999</v>
      </c>
      <c r="M425" s="1136">
        <v>1</v>
      </c>
      <c r="N425" s="488"/>
      <c r="O425" s="488"/>
      <c r="P425" s="488"/>
      <c r="Q425" s="488"/>
      <c r="R425" s="488"/>
      <c r="S425" s="488"/>
      <c r="T425" s="488"/>
      <c r="U425" s="488"/>
      <c r="V425" s="1137">
        <f t="shared" si="82"/>
        <v>1</v>
      </c>
      <c r="W425" s="602">
        <v>43040.794959999999</v>
      </c>
    </row>
    <row r="426" spans="1:23" x14ac:dyDescent="0.2">
      <c r="A426" s="1139" t="s">
        <v>1492</v>
      </c>
      <c r="B426" s="1136">
        <v>6</v>
      </c>
      <c r="C426" s="488"/>
      <c r="D426" s="488"/>
      <c r="E426" s="488"/>
      <c r="F426" s="488"/>
      <c r="G426" s="488"/>
      <c r="H426" s="488"/>
      <c r="I426" s="488"/>
      <c r="J426" s="488"/>
      <c r="K426" s="1137">
        <f t="shared" si="52"/>
        <v>6</v>
      </c>
      <c r="L426" s="602">
        <v>289861.98744</v>
      </c>
      <c r="M426" s="1136">
        <v>6</v>
      </c>
      <c r="N426" s="488"/>
      <c r="O426" s="488"/>
      <c r="P426" s="488"/>
      <c r="Q426" s="488"/>
      <c r="R426" s="488"/>
      <c r="S426" s="488"/>
      <c r="T426" s="488"/>
      <c r="U426" s="488"/>
      <c r="V426" s="1137">
        <f t="shared" si="82"/>
        <v>6</v>
      </c>
      <c r="W426" s="602">
        <v>289861.98744</v>
      </c>
    </row>
    <row r="427" spans="1:23" x14ac:dyDescent="0.2">
      <c r="A427" s="1130" t="s">
        <v>2850</v>
      </c>
      <c r="B427" s="1131">
        <f>SUM(B428:B435)</f>
        <v>50</v>
      </c>
      <c r="C427" s="1132">
        <f t="shared" ref="C427" si="83">SUM(C428:C435)</f>
        <v>0</v>
      </c>
      <c r="D427" s="1132">
        <v>8</v>
      </c>
      <c r="E427" s="1132">
        <v>0</v>
      </c>
      <c r="F427" s="1132">
        <f t="shared" ref="F427:J427" si="84">SUM(F428:F435)</f>
        <v>0</v>
      </c>
      <c r="G427" s="1132">
        <f t="shared" si="84"/>
        <v>0</v>
      </c>
      <c r="H427" s="1132">
        <f t="shared" si="84"/>
        <v>0</v>
      </c>
      <c r="I427" s="1132">
        <f t="shared" si="84"/>
        <v>0</v>
      </c>
      <c r="J427" s="1132">
        <f t="shared" si="84"/>
        <v>4</v>
      </c>
      <c r="K427" s="1133">
        <f>SUM(K428:K435)+D427</f>
        <v>62</v>
      </c>
      <c r="L427" s="1134">
        <f>SUM(L428:L435)+216000</f>
        <v>2527525.8394400002</v>
      </c>
      <c r="M427" s="1131">
        <f>SUM(M428:M435)</f>
        <v>50</v>
      </c>
      <c r="N427" s="1132">
        <f t="shared" ref="N427" si="85">SUM(N428:N435)</f>
        <v>0</v>
      </c>
      <c r="O427" s="1132">
        <v>8</v>
      </c>
      <c r="P427" s="1132">
        <v>0</v>
      </c>
      <c r="Q427" s="1132">
        <f t="shared" ref="Q427:U427" si="86">SUM(Q428:Q435)</f>
        <v>0</v>
      </c>
      <c r="R427" s="1132">
        <f t="shared" si="86"/>
        <v>0</v>
      </c>
      <c r="S427" s="1132">
        <f t="shared" si="86"/>
        <v>0</v>
      </c>
      <c r="T427" s="1132">
        <f t="shared" si="86"/>
        <v>0</v>
      </c>
      <c r="U427" s="1132">
        <f t="shared" si="86"/>
        <v>4</v>
      </c>
      <c r="V427" s="1133">
        <f>SUM(V428:V435)+O427</f>
        <v>62</v>
      </c>
      <c r="W427" s="1134">
        <f>SUM(W428:W435)+216000</f>
        <v>2527525.8394400002</v>
      </c>
    </row>
    <row r="428" spans="1:23" x14ac:dyDescent="0.2">
      <c r="A428" s="1138" t="s">
        <v>1499</v>
      </c>
      <c r="B428" s="1136"/>
      <c r="C428" s="488"/>
      <c r="D428" s="488"/>
      <c r="E428" s="488"/>
      <c r="F428" s="488"/>
      <c r="G428" s="488"/>
      <c r="H428" s="488"/>
      <c r="I428" s="488"/>
      <c r="J428" s="488"/>
      <c r="K428" s="1137">
        <f t="shared" si="52"/>
        <v>0</v>
      </c>
      <c r="L428" s="602"/>
      <c r="M428" s="1136"/>
      <c r="N428" s="488"/>
      <c r="O428" s="488"/>
      <c r="P428" s="488"/>
      <c r="Q428" s="488"/>
      <c r="R428" s="488"/>
      <c r="S428" s="488"/>
      <c r="T428" s="488"/>
      <c r="U428" s="488"/>
      <c r="V428" s="1137">
        <f t="shared" ref="V428:V435" si="87">SUM(M428:U428)</f>
        <v>0</v>
      </c>
      <c r="W428" s="602"/>
    </row>
    <row r="429" spans="1:23" x14ac:dyDescent="0.2">
      <c r="A429" s="1138" t="s">
        <v>1498</v>
      </c>
      <c r="B429" s="1136"/>
      <c r="C429" s="488"/>
      <c r="D429" s="488"/>
      <c r="E429" s="488"/>
      <c r="F429" s="488"/>
      <c r="G429" s="488"/>
      <c r="H429" s="488"/>
      <c r="I429" s="488"/>
      <c r="J429" s="488"/>
      <c r="K429" s="1137">
        <f t="shared" si="52"/>
        <v>0</v>
      </c>
      <c r="L429" s="602"/>
      <c r="M429" s="1136"/>
      <c r="N429" s="488"/>
      <c r="O429" s="488"/>
      <c r="P429" s="488"/>
      <c r="Q429" s="488"/>
      <c r="R429" s="488"/>
      <c r="S429" s="488"/>
      <c r="T429" s="488"/>
      <c r="U429" s="488"/>
      <c r="V429" s="1137">
        <f t="shared" si="87"/>
        <v>0</v>
      </c>
      <c r="W429" s="602"/>
    </row>
    <row r="430" spans="1:23" x14ac:dyDescent="0.2">
      <c r="A430" s="1138" t="s">
        <v>1497</v>
      </c>
      <c r="B430" s="1136">
        <v>1</v>
      </c>
      <c r="C430" s="488"/>
      <c r="D430" s="488"/>
      <c r="E430" s="488"/>
      <c r="F430" s="488"/>
      <c r="G430" s="488"/>
      <c r="H430" s="488"/>
      <c r="I430" s="488"/>
      <c r="J430" s="488"/>
      <c r="K430" s="1137">
        <f t="shared" si="52"/>
        <v>1</v>
      </c>
      <c r="L430" s="602">
        <v>28006.169439999998</v>
      </c>
      <c r="M430" s="1136">
        <v>1</v>
      </c>
      <c r="N430" s="488"/>
      <c r="O430" s="488"/>
      <c r="P430" s="488"/>
      <c r="Q430" s="488"/>
      <c r="R430" s="488"/>
      <c r="S430" s="488"/>
      <c r="T430" s="488"/>
      <c r="U430" s="488"/>
      <c r="V430" s="1137">
        <f t="shared" si="87"/>
        <v>1</v>
      </c>
      <c r="W430" s="602">
        <v>28006.169439999998</v>
      </c>
    </row>
    <row r="431" spans="1:23" x14ac:dyDescent="0.2">
      <c r="A431" s="1138" t="s">
        <v>1496</v>
      </c>
      <c r="B431" s="1136">
        <v>19</v>
      </c>
      <c r="C431" s="488"/>
      <c r="D431" s="488"/>
      <c r="E431" s="488"/>
      <c r="F431" s="488"/>
      <c r="G431" s="488"/>
      <c r="H431" s="488"/>
      <c r="I431" s="488"/>
      <c r="J431" s="488"/>
      <c r="K431" s="1137">
        <f t="shared" si="52"/>
        <v>19</v>
      </c>
      <c r="L431" s="602">
        <v>738755.73844000022</v>
      </c>
      <c r="M431" s="1136">
        <v>19</v>
      </c>
      <c r="N431" s="488"/>
      <c r="O431" s="488"/>
      <c r="P431" s="488"/>
      <c r="Q431" s="488"/>
      <c r="R431" s="488"/>
      <c r="S431" s="488"/>
      <c r="T431" s="488"/>
      <c r="U431" s="488"/>
      <c r="V431" s="1137">
        <f t="shared" si="87"/>
        <v>19</v>
      </c>
      <c r="W431" s="602">
        <v>738755.73844000022</v>
      </c>
    </row>
    <row r="432" spans="1:23" x14ac:dyDescent="0.2">
      <c r="A432" s="1138" t="s">
        <v>1495</v>
      </c>
      <c r="B432" s="1136">
        <v>8</v>
      </c>
      <c r="C432" s="488"/>
      <c r="D432" s="488"/>
      <c r="E432" s="488"/>
      <c r="F432" s="488"/>
      <c r="G432" s="488"/>
      <c r="H432" s="488"/>
      <c r="I432" s="488"/>
      <c r="J432" s="488"/>
      <c r="K432" s="1137">
        <f t="shared" si="52"/>
        <v>8</v>
      </c>
      <c r="L432" s="602">
        <v>316851.82519999996</v>
      </c>
      <c r="M432" s="1136">
        <v>8</v>
      </c>
      <c r="N432" s="488"/>
      <c r="O432" s="488"/>
      <c r="P432" s="488"/>
      <c r="Q432" s="488"/>
      <c r="R432" s="488"/>
      <c r="S432" s="488"/>
      <c r="T432" s="488"/>
      <c r="U432" s="488"/>
      <c r="V432" s="1137">
        <f t="shared" si="87"/>
        <v>8</v>
      </c>
      <c r="W432" s="602">
        <v>316851.82519999996</v>
      </c>
    </row>
    <row r="433" spans="1:23" x14ac:dyDescent="0.2">
      <c r="A433" s="1138" t="s">
        <v>1494</v>
      </c>
      <c r="B433" s="1136">
        <v>1</v>
      </c>
      <c r="C433" s="488"/>
      <c r="D433" s="488"/>
      <c r="E433" s="488"/>
      <c r="F433" s="488"/>
      <c r="G433" s="488"/>
      <c r="H433" s="488"/>
      <c r="I433" s="488"/>
      <c r="J433" s="488"/>
      <c r="K433" s="1137">
        <f t="shared" si="52"/>
        <v>1</v>
      </c>
      <c r="L433" s="602">
        <v>47048.686600000001</v>
      </c>
      <c r="M433" s="1136">
        <v>1</v>
      </c>
      <c r="N433" s="488"/>
      <c r="O433" s="488"/>
      <c r="P433" s="488"/>
      <c r="Q433" s="488"/>
      <c r="R433" s="488"/>
      <c r="S433" s="488"/>
      <c r="T433" s="488"/>
      <c r="U433" s="488"/>
      <c r="V433" s="1137">
        <f t="shared" si="87"/>
        <v>1</v>
      </c>
      <c r="W433" s="602">
        <v>47048.686600000001</v>
      </c>
    </row>
    <row r="434" spans="1:23" x14ac:dyDescent="0.2">
      <c r="A434" s="1138" t="s">
        <v>1493</v>
      </c>
      <c r="B434" s="1136">
        <v>1</v>
      </c>
      <c r="C434" s="488"/>
      <c r="D434" s="488"/>
      <c r="E434" s="488"/>
      <c r="F434" s="488"/>
      <c r="G434" s="488"/>
      <c r="H434" s="488"/>
      <c r="I434" s="488"/>
      <c r="J434" s="488"/>
      <c r="K434" s="1137">
        <f t="shared" si="52"/>
        <v>1</v>
      </c>
      <c r="L434" s="602">
        <v>48963.274959999995</v>
      </c>
      <c r="M434" s="1136">
        <v>1</v>
      </c>
      <c r="N434" s="488"/>
      <c r="O434" s="488"/>
      <c r="P434" s="488"/>
      <c r="Q434" s="488"/>
      <c r="R434" s="488"/>
      <c r="S434" s="488"/>
      <c r="T434" s="488"/>
      <c r="U434" s="488"/>
      <c r="V434" s="1137">
        <f t="shared" si="87"/>
        <v>1</v>
      </c>
      <c r="W434" s="602">
        <v>48963.274959999995</v>
      </c>
    </row>
    <row r="435" spans="1:23" x14ac:dyDescent="0.2">
      <c r="A435" s="1138" t="s">
        <v>1492</v>
      </c>
      <c r="B435" s="1136">
        <v>20</v>
      </c>
      <c r="C435" s="488"/>
      <c r="D435" s="488"/>
      <c r="E435" s="488"/>
      <c r="F435" s="488"/>
      <c r="G435" s="488"/>
      <c r="H435" s="488"/>
      <c r="I435" s="488"/>
      <c r="J435" s="1137">
        <v>4</v>
      </c>
      <c r="K435" s="1137">
        <f t="shared" si="52"/>
        <v>24</v>
      </c>
      <c r="L435" s="602">
        <f>1095290.7848+36609.36</f>
        <v>1131900.1448000001</v>
      </c>
      <c r="M435" s="1136">
        <v>20</v>
      </c>
      <c r="N435" s="488"/>
      <c r="O435" s="488"/>
      <c r="P435" s="488"/>
      <c r="Q435" s="488"/>
      <c r="R435" s="488"/>
      <c r="S435" s="488"/>
      <c r="T435" s="488"/>
      <c r="U435" s="1137">
        <v>4</v>
      </c>
      <c r="V435" s="1137">
        <f t="shared" si="87"/>
        <v>24</v>
      </c>
      <c r="W435" s="602">
        <f>1095290.7848+36609.36</f>
        <v>1131900.1448000001</v>
      </c>
    </row>
    <row r="436" spans="1:23" x14ac:dyDescent="0.2">
      <c r="A436" s="1144" t="s">
        <v>34</v>
      </c>
      <c r="B436" s="1145">
        <f>+B351+B360+B367+B374+B381+B391+B397+B403+B409+B415+B421+B427</f>
        <v>1791</v>
      </c>
      <c r="C436" s="1146">
        <f t="shared" ref="C436:L436" si="88">+C351+C360+C367+C374+C381+C391+C397+C403+C409+C415+C421+C427</f>
        <v>0</v>
      </c>
      <c r="D436" s="1146">
        <f t="shared" si="88"/>
        <v>271</v>
      </c>
      <c r="E436" s="1146">
        <f t="shared" si="88"/>
        <v>0</v>
      </c>
      <c r="F436" s="1146">
        <f t="shared" si="88"/>
        <v>0</v>
      </c>
      <c r="G436" s="1146">
        <f t="shared" si="88"/>
        <v>0</v>
      </c>
      <c r="H436" s="1146">
        <f t="shared" si="88"/>
        <v>0</v>
      </c>
      <c r="I436" s="1146">
        <f t="shared" si="88"/>
        <v>0</v>
      </c>
      <c r="J436" s="1146">
        <f t="shared" si="88"/>
        <v>271</v>
      </c>
      <c r="K436" s="1146">
        <f t="shared" si="88"/>
        <v>2335</v>
      </c>
      <c r="L436" s="1147">
        <f t="shared" si="88"/>
        <v>93809189.068911999</v>
      </c>
      <c r="M436" s="1145">
        <f>+M351+M360+M367+M374+M381+M391+M397+M403+M409+M415+M421+M427</f>
        <v>1791</v>
      </c>
      <c r="N436" s="1146">
        <f t="shared" ref="N436:W436" si="89">+N351+N360+N367+N374+N381+N391+N397+N403+N409+N415+N421+N427</f>
        <v>0</v>
      </c>
      <c r="O436" s="1146">
        <f t="shared" si="89"/>
        <v>271</v>
      </c>
      <c r="P436" s="1146">
        <f t="shared" si="89"/>
        <v>0</v>
      </c>
      <c r="Q436" s="1146">
        <f t="shared" si="89"/>
        <v>0</v>
      </c>
      <c r="R436" s="1146">
        <f t="shared" si="89"/>
        <v>0</v>
      </c>
      <c r="S436" s="1146">
        <f t="shared" si="89"/>
        <v>0</v>
      </c>
      <c r="T436" s="1146">
        <f t="shared" si="89"/>
        <v>0</v>
      </c>
      <c r="U436" s="1146">
        <f t="shared" si="89"/>
        <v>271</v>
      </c>
      <c r="V436" s="1146">
        <f t="shared" si="89"/>
        <v>2335</v>
      </c>
      <c r="W436" s="1147">
        <f t="shared" si="89"/>
        <v>93809189.068911999</v>
      </c>
    </row>
    <row r="437" spans="1:23" x14ac:dyDescent="0.2">
      <c r="A437" s="574" t="s">
        <v>308</v>
      </c>
    </row>
    <row r="438" spans="1:23" x14ac:dyDescent="0.2">
      <c r="A438" s="28" t="s">
        <v>302</v>
      </c>
    </row>
    <row r="439" spans="1:23" x14ac:dyDescent="0.2">
      <c r="A439" s="28" t="s">
        <v>306</v>
      </c>
      <c r="L439" s="1148"/>
    </row>
    <row r="440" spans="1:23" x14ac:dyDescent="0.2">
      <c r="A440" s="28" t="s">
        <v>313</v>
      </c>
    </row>
    <row r="442" spans="1:23" ht="15.75" x14ac:dyDescent="0.2">
      <c r="A442" s="561" t="s">
        <v>422</v>
      </c>
      <c r="B442" s="562"/>
      <c r="C442" s="562"/>
      <c r="D442" s="562"/>
      <c r="E442" s="562"/>
      <c r="F442" s="562"/>
      <c r="G442" s="562"/>
      <c r="H442" s="562"/>
      <c r="I442" s="562"/>
      <c r="J442" s="562"/>
      <c r="K442" s="562"/>
      <c r="L442" s="562"/>
      <c r="M442" s="562"/>
      <c r="N442" s="562"/>
      <c r="O442" s="562"/>
      <c r="P442" s="562"/>
      <c r="Q442" s="562"/>
      <c r="R442" s="562"/>
      <c r="S442" s="562"/>
      <c r="T442" s="562"/>
      <c r="U442" s="562"/>
      <c r="V442" s="562"/>
      <c r="W442" s="562"/>
    </row>
    <row r="443" spans="1:23" ht="15.75" x14ac:dyDescent="0.2">
      <c r="A443" s="561" t="s">
        <v>460</v>
      </c>
      <c r="B443" s="562"/>
      <c r="C443" s="562"/>
      <c r="D443" s="562"/>
      <c r="E443" s="562"/>
      <c r="F443" s="562"/>
      <c r="G443" s="562"/>
      <c r="H443" s="562"/>
      <c r="I443" s="562"/>
      <c r="J443" s="562"/>
      <c r="K443" s="562"/>
      <c r="L443" s="562"/>
      <c r="M443" s="562"/>
      <c r="N443" s="562"/>
      <c r="O443" s="562"/>
      <c r="P443" s="562"/>
      <c r="Q443" s="562"/>
      <c r="R443" s="562"/>
      <c r="S443" s="562"/>
      <c r="T443" s="562"/>
      <c r="U443" s="562"/>
      <c r="V443" s="562"/>
      <c r="W443" s="562"/>
    </row>
    <row r="444" spans="1:23" ht="15.75" x14ac:dyDescent="0.25">
      <c r="A444" s="355" t="s">
        <v>4109</v>
      </c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1:23" ht="13.5" thickBot="1" x14ac:dyDescent="0.25">
      <c r="L445" s="563"/>
      <c r="W445" s="563"/>
    </row>
    <row r="446" spans="1:23" x14ac:dyDescent="0.2">
      <c r="A446" s="233" t="s">
        <v>10</v>
      </c>
      <c r="B446" s="1469" t="s">
        <v>420</v>
      </c>
      <c r="C446" s="1470"/>
      <c r="D446" s="1470"/>
      <c r="E446" s="1470"/>
      <c r="F446" s="1470"/>
      <c r="G446" s="1470"/>
      <c r="H446" s="1470"/>
      <c r="I446" s="1470"/>
      <c r="J446" s="1470"/>
      <c r="K446" s="1470"/>
      <c r="L446" s="1471"/>
      <c r="M446" s="1469" t="s">
        <v>421</v>
      </c>
      <c r="N446" s="1470"/>
      <c r="O446" s="1470"/>
      <c r="P446" s="1470"/>
      <c r="Q446" s="1470"/>
      <c r="R446" s="1470"/>
      <c r="S446" s="1470"/>
      <c r="T446" s="1470"/>
      <c r="U446" s="1470"/>
      <c r="V446" s="1470"/>
      <c r="W446" s="1471"/>
    </row>
    <row r="447" spans="1:23" ht="134.25" x14ac:dyDescent="0.2">
      <c r="A447" s="234" t="s">
        <v>9</v>
      </c>
      <c r="B447" s="235" t="s">
        <v>347</v>
      </c>
      <c r="C447" s="235" t="s">
        <v>134</v>
      </c>
      <c r="D447" s="236" t="s">
        <v>301</v>
      </c>
      <c r="E447" s="236" t="s">
        <v>298</v>
      </c>
      <c r="F447" s="236" t="s">
        <v>303</v>
      </c>
      <c r="G447" s="236" t="s">
        <v>304</v>
      </c>
      <c r="H447" s="236" t="s">
        <v>305</v>
      </c>
      <c r="I447" s="236" t="s">
        <v>312</v>
      </c>
      <c r="J447" s="237" t="s">
        <v>307</v>
      </c>
      <c r="K447" s="238" t="s">
        <v>309</v>
      </c>
      <c r="L447" s="239" t="s">
        <v>311</v>
      </c>
      <c r="M447" s="235" t="s">
        <v>347</v>
      </c>
      <c r="N447" s="235" t="s">
        <v>134</v>
      </c>
      <c r="O447" s="236" t="s">
        <v>301</v>
      </c>
      <c r="P447" s="236" t="s">
        <v>298</v>
      </c>
      <c r="Q447" s="236" t="s">
        <v>303</v>
      </c>
      <c r="R447" s="236" t="s">
        <v>304</v>
      </c>
      <c r="S447" s="236" t="s">
        <v>305</v>
      </c>
      <c r="T447" s="236" t="s">
        <v>312</v>
      </c>
      <c r="U447" s="237" t="s">
        <v>307</v>
      </c>
      <c r="V447" s="238" t="s">
        <v>309</v>
      </c>
      <c r="W447" s="239" t="s">
        <v>310</v>
      </c>
    </row>
    <row r="448" spans="1:23" x14ac:dyDescent="0.2">
      <c r="A448" s="33"/>
      <c r="L448" s="39"/>
      <c r="W448" s="39"/>
    </row>
    <row r="449" spans="1:23" x14ac:dyDescent="0.2">
      <c r="A449" s="34" t="s">
        <v>7</v>
      </c>
      <c r="B449" s="565"/>
      <c r="C449" s="565"/>
      <c r="D449" s="565"/>
      <c r="E449" s="565"/>
      <c r="F449" s="565"/>
      <c r="G449" s="565"/>
      <c r="H449" s="565"/>
      <c r="I449" s="565"/>
      <c r="J449" s="565"/>
      <c r="K449" s="565"/>
      <c r="L449" s="36"/>
      <c r="M449" s="565"/>
      <c r="N449" s="565"/>
      <c r="O449" s="565"/>
      <c r="P449" s="565"/>
      <c r="Q449" s="565"/>
      <c r="R449" s="565"/>
      <c r="S449" s="565"/>
      <c r="T449" s="565"/>
      <c r="U449" s="565"/>
      <c r="V449" s="565"/>
      <c r="W449" s="36"/>
    </row>
    <row r="450" spans="1:23" x14ac:dyDescent="0.2">
      <c r="A450" s="33" t="s">
        <v>3</v>
      </c>
      <c r="K450" s="28">
        <f>SUM(B450:J450)</f>
        <v>0</v>
      </c>
      <c r="L450" s="39"/>
      <c r="V450" s="28">
        <f>SUM(M450:U450)</f>
        <v>0</v>
      </c>
      <c r="W450" s="39"/>
    </row>
    <row r="451" spans="1:23" x14ac:dyDescent="0.2">
      <c r="A451" s="33" t="s">
        <v>12</v>
      </c>
      <c r="K451" s="28">
        <f t="shared" ref="K451:K477" si="90">SUM(B451:J451)</f>
        <v>0</v>
      </c>
      <c r="L451" s="39"/>
      <c r="V451" s="28">
        <f t="shared" ref="V451:V456" si="91">SUM(M451:U451)</f>
        <v>0</v>
      </c>
      <c r="W451" s="39"/>
    </row>
    <row r="452" spans="1:23" x14ac:dyDescent="0.2">
      <c r="A452" s="33" t="s">
        <v>12</v>
      </c>
      <c r="K452" s="28">
        <f t="shared" si="90"/>
        <v>0</v>
      </c>
      <c r="L452" s="39"/>
      <c r="V452" s="28">
        <f t="shared" si="91"/>
        <v>0</v>
      </c>
      <c r="W452" s="39"/>
    </row>
    <row r="453" spans="1:23" x14ac:dyDescent="0.2">
      <c r="A453" s="33" t="s">
        <v>1401</v>
      </c>
      <c r="B453" s="28">
        <v>1</v>
      </c>
      <c r="K453" s="28">
        <f t="shared" si="90"/>
        <v>1</v>
      </c>
      <c r="L453" s="489">
        <v>61484.92</v>
      </c>
      <c r="M453" s="28">
        <v>1</v>
      </c>
      <c r="V453" s="28">
        <f t="shared" si="91"/>
        <v>1</v>
      </c>
      <c r="W453" s="489">
        <v>61484.92</v>
      </c>
    </row>
    <row r="454" spans="1:23" x14ac:dyDescent="0.2">
      <c r="A454" s="33" t="s">
        <v>12</v>
      </c>
      <c r="K454" s="28">
        <f t="shared" si="90"/>
        <v>0</v>
      </c>
      <c r="L454" s="39"/>
      <c r="V454" s="28">
        <f t="shared" si="91"/>
        <v>0</v>
      </c>
      <c r="W454" s="39"/>
    </row>
    <row r="455" spans="1:23" x14ac:dyDescent="0.2">
      <c r="A455" s="33" t="s">
        <v>13</v>
      </c>
      <c r="K455" s="28">
        <f t="shared" si="90"/>
        <v>0</v>
      </c>
      <c r="L455" s="39"/>
      <c r="V455" s="28">
        <f t="shared" si="91"/>
        <v>0</v>
      </c>
      <c r="W455" s="39"/>
    </row>
    <row r="456" spans="1:23" x14ac:dyDescent="0.2">
      <c r="A456" s="135"/>
      <c r="K456" s="28">
        <f t="shared" si="90"/>
        <v>0</v>
      </c>
      <c r="L456" s="39"/>
      <c r="V456" s="28">
        <f t="shared" si="91"/>
        <v>0</v>
      </c>
      <c r="W456" s="39"/>
    </row>
    <row r="457" spans="1:23" x14ac:dyDescent="0.2">
      <c r="A457" s="34" t="s">
        <v>1476</v>
      </c>
      <c r="B457" s="565"/>
      <c r="C457" s="565"/>
      <c r="D457" s="565"/>
      <c r="E457" s="565"/>
      <c r="F457" s="565"/>
      <c r="G457" s="565"/>
      <c r="H457" s="565"/>
      <c r="I457" s="565"/>
      <c r="J457" s="565"/>
      <c r="K457" s="565"/>
      <c r="L457" s="36"/>
      <c r="M457" s="565"/>
      <c r="N457" s="565"/>
      <c r="O457" s="565"/>
      <c r="P457" s="565"/>
      <c r="Q457" s="565"/>
      <c r="R457" s="565"/>
      <c r="S457" s="565"/>
      <c r="T457" s="565"/>
      <c r="U457" s="565"/>
      <c r="V457" s="565"/>
      <c r="W457" s="36"/>
    </row>
    <row r="458" spans="1:23" x14ac:dyDescent="0.2">
      <c r="A458" s="1219" t="s">
        <v>1834</v>
      </c>
      <c r="B458" s="28">
        <v>2</v>
      </c>
      <c r="K458" s="28">
        <f t="shared" si="90"/>
        <v>2</v>
      </c>
      <c r="L458" s="489">
        <v>134768</v>
      </c>
      <c r="M458" s="28">
        <v>2</v>
      </c>
      <c r="V458" s="28">
        <f t="shared" ref="V458:V459" si="92">SUM(M458:U458)</f>
        <v>2</v>
      </c>
      <c r="W458" s="489">
        <f>134768+1800*12</f>
        <v>156368</v>
      </c>
    </row>
    <row r="459" spans="1:23" x14ac:dyDescent="0.2">
      <c r="A459" s="1219" t="s">
        <v>1828</v>
      </c>
      <c r="B459" s="28">
        <v>1</v>
      </c>
      <c r="K459" s="28">
        <f t="shared" si="90"/>
        <v>1</v>
      </c>
      <c r="L459" s="489">
        <v>54652</v>
      </c>
      <c r="M459" s="28">
        <v>1</v>
      </c>
      <c r="V459" s="28">
        <f t="shared" si="92"/>
        <v>1</v>
      </c>
      <c r="W459" s="489">
        <f>L459</f>
        <v>54652</v>
      </c>
    </row>
    <row r="460" spans="1:23" x14ac:dyDescent="0.2">
      <c r="A460" s="34" t="s">
        <v>4</v>
      </c>
      <c r="B460" s="565"/>
      <c r="C460" s="565"/>
      <c r="D460" s="565"/>
      <c r="E460" s="565"/>
      <c r="F460" s="565"/>
      <c r="G460" s="565"/>
      <c r="H460" s="565"/>
      <c r="I460" s="565"/>
      <c r="J460" s="565"/>
      <c r="K460" s="565"/>
      <c r="L460" s="36"/>
      <c r="M460" s="565"/>
      <c r="N460" s="565"/>
      <c r="O460" s="565"/>
      <c r="P460" s="565"/>
      <c r="Q460" s="565"/>
      <c r="R460" s="565"/>
      <c r="S460" s="565"/>
      <c r="T460" s="565"/>
      <c r="U460" s="565"/>
      <c r="V460" s="565"/>
      <c r="W460" s="36"/>
    </row>
    <row r="461" spans="1:23" x14ac:dyDescent="0.2">
      <c r="A461" s="33" t="s">
        <v>14</v>
      </c>
      <c r="K461" s="28">
        <f t="shared" si="90"/>
        <v>0</v>
      </c>
      <c r="L461" s="39"/>
      <c r="V461" s="28">
        <f t="shared" ref="V461:V465" si="93">SUM(M461:U461)</f>
        <v>0</v>
      </c>
      <c r="W461" s="39"/>
    </row>
    <row r="462" spans="1:23" x14ac:dyDescent="0.2">
      <c r="A462" s="33" t="s">
        <v>15</v>
      </c>
      <c r="K462" s="28">
        <f t="shared" si="90"/>
        <v>0</v>
      </c>
      <c r="L462" s="39"/>
      <c r="V462" s="28">
        <f t="shared" si="93"/>
        <v>0</v>
      </c>
      <c r="W462" s="39"/>
    </row>
    <row r="463" spans="1:23" x14ac:dyDescent="0.2">
      <c r="A463" s="33" t="s">
        <v>1405</v>
      </c>
      <c r="B463" s="28">
        <v>1</v>
      </c>
      <c r="K463" s="28">
        <f t="shared" si="90"/>
        <v>1</v>
      </c>
      <c r="L463" s="489">
        <v>27530.92</v>
      </c>
      <c r="M463" s="28">
        <v>1</v>
      </c>
      <c r="V463" s="28">
        <f t="shared" si="93"/>
        <v>1</v>
      </c>
      <c r="W463" s="489">
        <f t="shared" ref="W463:W464" si="94">L463</f>
        <v>27530.92</v>
      </c>
    </row>
    <row r="464" spans="1:23" x14ac:dyDescent="0.2">
      <c r="A464" s="33" t="s">
        <v>16</v>
      </c>
      <c r="B464" s="28">
        <v>1</v>
      </c>
      <c r="K464" s="28">
        <f t="shared" si="90"/>
        <v>1</v>
      </c>
      <c r="L464" s="489">
        <v>27232.12</v>
      </c>
      <c r="M464" s="28">
        <v>1</v>
      </c>
      <c r="V464" s="28">
        <f t="shared" si="93"/>
        <v>1</v>
      </c>
      <c r="W464" s="489">
        <f t="shared" si="94"/>
        <v>27232.12</v>
      </c>
    </row>
    <row r="465" spans="1:23" x14ac:dyDescent="0.2">
      <c r="A465" s="33"/>
      <c r="K465" s="28">
        <f t="shared" si="90"/>
        <v>0</v>
      </c>
      <c r="L465" s="39"/>
      <c r="V465" s="28">
        <f t="shared" si="93"/>
        <v>0</v>
      </c>
      <c r="W465" s="39"/>
    </row>
    <row r="466" spans="1:23" x14ac:dyDescent="0.2">
      <c r="A466" s="34" t="s">
        <v>5</v>
      </c>
      <c r="B466" s="565"/>
      <c r="C466" s="565"/>
      <c r="D466" s="565"/>
      <c r="E466" s="565"/>
      <c r="F466" s="565"/>
      <c r="G466" s="565"/>
      <c r="H466" s="565"/>
      <c r="I466" s="565"/>
      <c r="J466" s="565"/>
      <c r="K466" s="565"/>
      <c r="L466" s="36"/>
      <c r="M466" s="565"/>
      <c r="N466" s="565"/>
      <c r="O466" s="565"/>
      <c r="P466" s="565"/>
      <c r="Q466" s="565"/>
      <c r="R466" s="565"/>
      <c r="S466" s="565"/>
      <c r="T466" s="565"/>
      <c r="U466" s="565"/>
      <c r="V466" s="565"/>
      <c r="W466" s="36"/>
    </row>
    <row r="467" spans="1:23" x14ac:dyDescent="0.2">
      <c r="A467" s="33" t="s">
        <v>17</v>
      </c>
      <c r="B467" s="28">
        <v>3</v>
      </c>
      <c r="K467" s="28">
        <f t="shared" si="90"/>
        <v>3</v>
      </c>
      <c r="L467" s="489">
        <v>90987</v>
      </c>
      <c r="M467" s="28">
        <v>3</v>
      </c>
      <c r="V467" s="28">
        <f t="shared" ref="V467:V471" si="95">SUM(M467:U467)</f>
        <v>3</v>
      </c>
      <c r="W467" s="489">
        <f t="shared" ref="W467:W471" si="96">L467</f>
        <v>90987</v>
      </c>
    </row>
    <row r="468" spans="1:23" x14ac:dyDescent="0.2">
      <c r="A468" s="33" t="s">
        <v>1436</v>
      </c>
      <c r="B468" s="28">
        <v>1</v>
      </c>
      <c r="K468" s="28">
        <f t="shared" si="90"/>
        <v>1</v>
      </c>
      <c r="L468" s="489">
        <v>26475.88</v>
      </c>
      <c r="M468" s="28">
        <v>1</v>
      </c>
      <c r="V468" s="28">
        <f t="shared" si="95"/>
        <v>1</v>
      </c>
      <c r="W468" s="489">
        <f t="shared" si="96"/>
        <v>26475.88</v>
      </c>
    </row>
    <row r="469" spans="1:23" x14ac:dyDescent="0.2">
      <c r="A469" s="33" t="s">
        <v>1438</v>
      </c>
      <c r="B469" s="28">
        <v>3</v>
      </c>
      <c r="K469" s="28">
        <f t="shared" si="90"/>
        <v>3</v>
      </c>
      <c r="L469" s="489">
        <v>90258</v>
      </c>
      <c r="M469" s="28">
        <v>3</v>
      </c>
      <c r="V469" s="28">
        <f t="shared" si="95"/>
        <v>3</v>
      </c>
      <c r="W469" s="489">
        <f t="shared" si="96"/>
        <v>90258</v>
      </c>
    </row>
    <row r="470" spans="1:23" x14ac:dyDescent="0.2">
      <c r="A470" s="33" t="s">
        <v>18</v>
      </c>
      <c r="B470" s="28">
        <v>2</v>
      </c>
      <c r="K470" s="28">
        <f t="shared" si="90"/>
        <v>2</v>
      </c>
      <c r="L470" s="489">
        <v>52628</v>
      </c>
      <c r="M470" s="28">
        <v>2</v>
      </c>
      <c r="V470" s="28">
        <f t="shared" si="95"/>
        <v>2</v>
      </c>
      <c r="W470" s="489">
        <f t="shared" si="96"/>
        <v>52628</v>
      </c>
    </row>
    <row r="471" spans="1:23" x14ac:dyDescent="0.2">
      <c r="A471" s="33" t="s">
        <v>1439</v>
      </c>
      <c r="B471" s="28">
        <v>11</v>
      </c>
      <c r="K471" s="28">
        <f t="shared" si="90"/>
        <v>11</v>
      </c>
      <c r="L471" s="489">
        <v>346160</v>
      </c>
      <c r="M471" s="28">
        <v>11</v>
      </c>
      <c r="V471" s="28">
        <f t="shared" si="95"/>
        <v>11</v>
      </c>
      <c r="W471" s="489">
        <f t="shared" si="96"/>
        <v>346160</v>
      </c>
    </row>
    <row r="472" spans="1:23" x14ac:dyDescent="0.2">
      <c r="A472" s="34" t="s">
        <v>6</v>
      </c>
      <c r="B472" s="565"/>
      <c r="C472" s="565"/>
      <c r="D472" s="565"/>
      <c r="E472" s="565"/>
      <c r="F472" s="565"/>
      <c r="G472" s="565"/>
      <c r="H472" s="565"/>
      <c r="I472" s="565"/>
      <c r="J472" s="565"/>
      <c r="K472" s="565"/>
      <c r="L472" s="36"/>
      <c r="M472" s="565"/>
      <c r="N472" s="565"/>
      <c r="O472" s="565"/>
      <c r="P472" s="565"/>
      <c r="Q472" s="565"/>
      <c r="R472" s="565"/>
      <c r="S472" s="565"/>
      <c r="T472" s="565"/>
      <c r="U472" s="565"/>
      <c r="V472" s="565"/>
      <c r="W472" s="36"/>
    </row>
    <row r="473" spans="1:23" x14ac:dyDescent="0.2">
      <c r="A473" s="33" t="s">
        <v>19</v>
      </c>
      <c r="L473" s="39"/>
      <c r="V473" s="28">
        <f t="shared" ref="V473:V477" si="97">SUM(M473:U473)</f>
        <v>0</v>
      </c>
      <c r="W473" s="39"/>
    </row>
    <row r="474" spans="1:23" x14ac:dyDescent="0.2">
      <c r="A474" s="33" t="s">
        <v>1440</v>
      </c>
      <c r="B474" s="28">
        <v>1</v>
      </c>
      <c r="K474" s="28">
        <f t="shared" si="90"/>
        <v>1</v>
      </c>
      <c r="L474" s="489">
        <v>26009.32</v>
      </c>
      <c r="M474" s="28">
        <v>1</v>
      </c>
      <c r="V474" s="28">
        <f t="shared" si="97"/>
        <v>1</v>
      </c>
      <c r="W474" s="489">
        <f t="shared" ref="W474:W477" si="98">L474</f>
        <v>26009.32</v>
      </c>
    </row>
    <row r="475" spans="1:23" x14ac:dyDescent="0.2">
      <c r="A475" s="33" t="s">
        <v>1441</v>
      </c>
      <c r="B475" s="28">
        <v>1</v>
      </c>
      <c r="K475" s="28">
        <f t="shared" si="90"/>
        <v>1</v>
      </c>
      <c r="L475" s="489">
        <v>27712</v>
      </c>
      <c r="M475" s="28">
        <v>1</v>
      </c>
      <c r="V475" s="28">
        <f t="shared" si="97"/>
        <v>1</v>
      </c>
      <c r="W475" s="489">
        <f t="shared" si="98"/>
        <v>27712</v>
      </c>
    </row>
    <row r="476" spans="1:23" x14ac:dyDescent="0.2">
      <c r="A476" s="33" t="s">
        <v>1442</v>
      </c>
      <c r="B476" s="28">
        <v>3</v>
      </c>
      <c r="K476" s="28">
        <f t="shared" si="90"/>
        <v>3</v>
      </c>
      <c r="L476" s="489">
        <v>77467.8</v>
      </c>
      <c r="M476" s="28">
        <v>3</v>
      </c>
      <c r="V476" s="28">
        <f t="shared" si="97"/>
        <v>3</v>
      </c>
      <c r="W476" s="489">
        <f t="shared" si="98"/>
        <v>77467.8</v>
      </c>
    </row>
    <row r="477" spans="1:23" ht="13.5" thickBot="1" x14ac:dyDescent="0.25">
      <c r="A477" s="33" t="s">
        <v>1443</v>
      </c>
      <c r="B477" s="28">
        <v>6</v>
      </c>
      <c r="K477" s="28">
        <f t="shared" si="90"/>
        <v>6</v>
      </c>
      <c r="L477" s="489">
        <v>163049.01</v>
      </c>
      <c r="M477" s="28">
        <v>6</v>
      </c>
      <c r="V477" s="28">
        <f t="shared" si="97"/>
        <v>6</v>
      </c>
      <c r="W477" s="489">
        <f t="shared" si="98"/>
        <v>163049.01</v>
      </c>
    </row>
    <row r="478" spans="1:23" ht="13.5" thickBot="1" x14ac:dyDescent="0.25">
      <c r="A478" s="41" t="s">
        <v>25</v>
      </c>
      <c r="B478" s="43">
        <f>SUM(B448:B477)</f>
        <v>37</v>
      </c>
      <c r="C478" s="43"/>
      <c r="D478" s="43"/>
      <c r="E478" s="43"/>
      <c r="F478" s="43"/>
      <c r="G478" s="43"/>
      <c r="H478" s="43"/>
      <c r="I478" s="43"/>
      <c r="J478" s="43"/>
      <c r="K478" s="43">
        <f>SUM(K448:K477)</f>
        <v>37</v>
      </c>
      <c r="L478" s="1220">
        <f>SUM(L448:L477)</f>
        <v>1206414.97</v>
      </c>
      <c r="M478" s="1221"/>
      <c r="N478" s="43"/>
      <c r="O478" s="43"/>
      <c r="P478" s="43"/>
      <c r="Q478" s="43"/>
      <c r="R478" s="43"/>
      <c r="S478" s="43"/>
      <c r="T478" s="43"/>
      <c r="U478" s="43"/>
      <c r="V478" s="43">
        <f>SUM(V448:V477)</f>
        <v>37</v>
      </c>
      <c r="W478" s="1222">
        <f>SUM(W448:W477)</f>
        <v>1228014.97</v>
      </c>
    </row>
    <row r="479" spans="1:23" x14ac:dyDescent="0.2">
      <c r="A479" s="574" t="s">
        <v>308</v>
      </c>
      <c r="B479" s="490"/>
      <c r="C479" s="490"/>
      <c r="D479" s="490"/>
      <c r="E479" s="490"/>
      <c r="F479" s="490"/>
      <c r="G479" s="490"/>
      <c r="H479" s="490"/>
      <c r="I479" s="490"/>
      <c r="J479" s="490"/>
      <c r="K479" s="490"/>
      <c r="L479" s="490"/>
      <c r="M479" s="490"/>
      <c r="N479" s="490"/>
      <c r="O479" s="490"/>
      <c r="P479" s="162"/>
      <c r="Q479" s="151"/>
      <c r="R479"/>
      <c r="S479"/>
      <c r="T479" s="162"/>
      <c r="U479" s="162"/>
      <c r="V479" s="162"/>
      <c r="W479" s="162"/>
    </row>
    <row r="480" spans="1:23" x14ac:dyDescent="0.2">
      <c r="A480" s="28" t="s">
        <v>302</v>
      </c>
      <c r="P480" s="162"/>
      <c r="Q480" s="151"/>
      <c r="R480"/>
      <c r="S480"/>
      <c r="T480"/>
      <c r="U480"/>
      <c r="V480" s="162"/>
      <c r="W480" s="162"/>
    </row>
    <row r="481" spans="1:23" x14ac:dyDescent="0.2">
      <c r="A481" s="28" t="s">
        <v>306</v>
      </c>
      <c r="P481" s="162"/>
      <c r="Q481" s="151"/>
      <c r="R481"/>
      <c r="S481"/>
      <c r="T481"/>
      <c r="U481"/>
      <c r="V481" s="162"/>
      <c r="W481" s="162"/>
    </row>
    <row r="482" spans="1:23" x14ac:dyDescent="0.2">
      <c r="A482" s="28" t="s">
        <v>313</v>
      </c>
    </row>
  </sheetData>
  <mergeCells count="18">
    <mergeCell ref="B301:L301"/>
    <mergeCell ref="M301:W301"/>
    <mergeCell ref="B348:L348"/>
    <mergeCell ref="M348:W348"/>
    <mergeCell ref="B446:L446"/>
    <mergeCell ref="M446:W446"/>
    <mergeCell ref="B139:L139"/>
    <mergeCell ref="M139:W139"/>
    <mergeCell ref="B180:L180"/>
    <mergeCell ref="M180:W180"/>
    <mergeCell ref="B254:L254"/>
    <mergeCell ref="M254:W254"/>
    <mergeCell ref="B5:L5"/>
    <mergeCell ref="M5:W5"/>
    <mergeCell ref="B61:L61"/>
    <mergeCell ref="M61:W61"/>
    <mergeCell ref="B98:L98"/>
    <mergeCell ref="M98:W98"/>
  </mergeCells>
  <printOptions horizontalCentered="1"/>
  <pageMargins left="0.25" right="0.25" top="0.75" bottom="0.75" header="0.3" footer="0.3"/>
  <pageSetup paperSize="9" scale="1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>
    <tabColor rgb="FF0070C0"/>
    <pageSetUpPr fitToPage="1"/>
  </sheetPr>
  <dimension ref="A1:V222"/>
  <sheetViews>
    <sheetView view="pageLayout" topLeftCell="A42" zoomScale="90" zoomScaleNormal="100" zoomScaleSheetLayoutView="100" zoomScalePageLayoutView="90" workbookViewId="0">
      <selection activeCell="A94" sqref="A94:W128"/>
    </sheetView>
  </sheetViews>
  <sheetFormatPr baseColWidth="10" defaultColWidth="11.42578125" defaultRowHeight="12" x14ac:dyDescent="0.2"/>
  <cols>
    <col min="1" max="1" width="62" style="3" customWidth="1"/>
    <col min="2" max="9" width="14.7109375" style="3" customWidth="1"/>
    <col min="10" max="16384" width="11.42578125" style="3"/>
  </cols>
  <sheetData>
    <row r="1" spans="1:22" s="165" customFormat="1" ht="15.75" x14ac:dyDescent="0.25">
      <c r="A1" s="139"/>
      <c r="B1" s="170"/>
      <c r="C1" s="169"/>
      <c r="D1" s="169"/>
      <c r="E1" s="169"/>
      <c r="F1" s="169"/>
      <c r="H1" s="166"/>
      <c r="I1" s="166"/>
    </row>
    <row r="2" spans="1:22" s="167" customFormat="1" ht="15.75" x14ac:dyDescent="0.2">
      <c r="A2" s="173" t="s">
        <v>460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s="100" customFormat="1" ht="13.5" thickBot="1" x14ac:dyDescent="0.25">
      <c r="A3" s="355" t="s">
        <v>476</v>
      </c>
      <c r="B3" s="11"/>
      <c r="E3" s="11"/>
    </row>
    <row r="4" spans="1:22" ht="12.75" thickBot="1" x14ac:dyDescent="0.25">
      <c r="A4" s="240" t="s">
        <v>10</v>
      </c>
      <c r="B4" s="1478" t="s">
        <v>349</v>
      </c>
      <c r="C4" s="1478"/>
      <c r="D4" s="1479" t="s">
        <v>423</v>
      </c>
      <c r="E4" s="1480"/>
      <c r="F4" s="1479" t="s">
        <v>424</v>
      </c>
      <c r="G4" s="1481"/>
      <c r="H4" s="1479" t="s">
        <v>348</v>
      </c>
      <c r="I4" s="1481"/>
    </row>
    <row r="5" spans="1:22" s="87" customFormat="1" ht="24" customHeight="1" x14ac:dyDescent="0.2">
      <c r="A5" s="241" t="s">
        <v>9</v>
      </c>
      <c r="B5" s="242" t="s">
        <v>152</v>
      </c>
      <c r="C5" s="243" t="s">
        <v>27</v>
      </c>
      <c r="D5" s="241" t="s">
        <v>152</v>
      </c>
      <c r="E5" s="244" t="s">
        <v>27</v>
      </c>
      <c r="F5" s="241" t="s">
        <v>152</v>
      </c>
      <c r="G5" s="244" t="s">
        <v>27</v>
      </c>
      <c r="H5" s="241" t="s">
        <v>152</v>
      </c>
      <c r="I5" s="244" t="s">
        <v>27</v>
      </c>
    </row>
    <row r="6" spans="1:22" x14ac:dyDescent="0.2">
      <c r="A6" s="146" t="s">
        <v>149</v>
      </c>
      <c r="B6" s="85"/>
      <c r="C6" s="81"/>
      <c r="D6" s="70"/>
      <c r="E6" s="71"/>
      <c r="F6" s="70"/>
      <c r="G6" s="71"/>
      <c r="H6" s="70"/>
      <c r="I6" s="71"/>
    </row>
    <row r="7" spans="1:22" x14ac:dyDescent="0.2">
      <c r="A7" s="146" t="s">
        <v>181</v>
      </c>
      <c r="B7" s="85"/>
      <c r="C7" s="81"/>
      <c r="D7" s="70"/>
      <c r="E7" s="71"/>
      <c r="F7" s="70"/>
      <c r="G7" s="71"/>
      <c r="H7" s="70"/>
      <c r="I7" s="71"/>
    </row>
    <row r="8" spans="1:22" x14ac:dyDescent="0.2">
      <c r="A8" s="146" t="s">
        <v>179</v>
      </c>
      <c r="B8" s="85"/>
      <c r="C8" s="81"/>
      <c r="D8" s="70"/>
      <c r="E8" s="71"/>
      <c r="F8" s="70"/>
      <c r="G8" s="71"/>
      <c r="H8" s="70"/>
      <c r="I8" s="71"/>
    </row>
    <row r="9" spans="1:22" s="127" customFormat="1" x14ac:dyDescent="0.2">
      <c r="A9" s="52" t="s">
        <v>188</v>
      </c>
      <c r="B9" s="85"/>
      <c r="C9" s="81"/>
      <c r="D9" s="70"/>
      <c r="E9" s="71"/>
      <c r="F9" s="70"/>
      <c r="G9" s="71"/>
      <c r="H9" s="70"/>
      <c r="I9" s="71"/>
    </row>
    <row r="10" spans="1:22" s="127" customFormat="1" x14ac:dyDescent="0.2">
      <c r="A10" s="146" t="s">
        <v>182</v>
      </c>
      <c r="B10" s="85"/>
      <c r="C10" s="81"/>
      <c r="D10" s="70"/>
      <c r="E10" s="71"/>
      <c r="F10" s="70"/>
      <c r="G10" s="71"/>
      <c r="H10" s="70"/>
      <c r="I10" s="71"/>
    </row>
    <row r="11" spans="1:22" s="127" customFormat="1" x14ac:dyDescent="0.2">
      <c r="A11" s="52" t="s">
        <v>180</v>
      </c>
      <c r="B11" s="85"/>
      <c r="C11" s="81"/>
      <c r="D11" s="70"/>
      <c r="E11" s="71"/>
      <c r="F11" s="70"/>
      <c r="G11" s="71"/>
      <c r="H11" s="70"/>
      <c r="I11" s="71"/>
    </row>
    <row r="12" spans="1:22" s="127" customFormat="1" x14ac:dyDescent="0.2">
      <c r="A12" s="146" t="s">
        <v>187</v>
      </c>
      <c r="B12" s="85"/>
      <c r="C12" s="81"/>
      <c r="D12" s="70"/>
      <c r="E12" s="71"/>
      <c r="F12" s="70"/>
      <c r="G12" s="71"/>
      <c r="H12" s="70"/>
      <c r="I12" s="71"/>
    </row>
    <row r="13" spans="1:22" s="127" customFormat="1" x14ac:dyDescent="0.2">
      <c r="A13" s="146" t="s">
        <v>29</v>
      </c>
      <c r="B13" s="85"/>
      <c r="C13" s="81"/>
      <c r="D13" s="70"/>
      <c r="E13" s="71"/>
      <c r="F13" s="70"/>
      <c r="G13" s="71"/>
      <c r="H13" s="70"/>
      <c r="I13" s="71"/>
    </row>
    <row r="14" spans="1:22" s="127" customFormat="1" x14ac:dyDescent="0.2">
      <c r="A14" s="146" t="s">
        <v>184</v>
      </c>
      <c r="B14" s="85"/>
      <c r="C14" s="81"/>
      <c r="D14" s="70"/>
      <c r="E14" s="71"/>
      <c r="F14" s="70"/>
      <c r="G14" s="71"/>
      <c r="H14" s="70"/>
      <c r="I14" s="71"/>
    </row>
    <row r="15" spans="1:22" s="127" customFormat="1" x14ac:dyDescent="0.2">
      <c r="A15" s="146" t="s">
        <v>28</v>
      </c>
      <c r="B15" s="85"/>
      <c r="C15" s="81"/>
      <c r="D15" s="70"/>
      <c r="E15" s="71"/>
      <c r="F15" s="70"/>
      <c r="G15" s="71"/>
      <c r="H15" s="70"/>
      <c r="I15" s="71"/>
    </row>
    <row r="16" spans="1:22" s="127" customFormat="1" x14ac:dyDescent="0.2">
      <c r="A16" s="146" t="s">
        <v>185</v>
      </c>
      <c r="B16" s="85"/>
      <c r="C16" s="81"/>
      <c r="D16" s="70"/>
      <c r="E16" s="71"/>
      <c r="F16" s="70"/>
      <c r="G16" s="71"/>
      <c r="H16" s="70"/>
      <c r="I16" s="71"/>
    </row>
    <row r="17" spans="1:9" s="127" customFormat="1" x14ac:dyDescent="0.2">
      <c r="A17" s="146" t="s">
        <v>183</v>
      </c>
      <c r="B17" s="85"/>
      <c r="C17" s="81"/>
      <c r="D17" s="70"/>
      <c r="E17" s="71"/>
      <c r="F17" s="70"/>
      <c r="G17" s="71"/>
      <c r="H17" s="70"/>
      <c r="I17" s="71"/>
    </row>
    <row r="18" spans="1:9" s="127" customFormat="1" x14ac:dyDescent="0.2">
      <c r="A18" s="146" t="s">
        <v>186</v>
      </c>
      <c r="B18" s="85"/>
      <c r="C18" s="81"/>
      <c r="D18" s="70"/>
      <c r="E18" s="71"/>
      <c r="F18" s="70"/>
      <c r="G18" s="71"/>
      <c r="H18" s="70"/>
      <c r="I18" s="71"/>
    </row>
    <row r="19" spans="1:9" s="127" customFormat="1" x14ac:dyDescent="0.2">
      <c r="A19" s="146" t="s">
        <v>30</v>
      </c>
      <c r="B19" s="85"/>
      <c r="C19" s="81"/>
      <c r="D19" s="70"/>
      <c r="E19" s="71"/>
      <c r="F19" s="70"/>
      <c r="G19" s="71"/>
      <c r="H19" s="70"/>
      <c r="I19" s="71"/>
    </row>
    <row r="20" spans="1:9" s="127" customFormat="1" x14ac:dyDescent="0.2">
      <c r="A20" s="146" t="s">
        <v>178</v>
      </c>
      <c r="B20" s="85"/>
      <c r="C20" s="81"/>
      <c r="D20" s="70"/>
      <c r="E20" s="71"/>
      <c r="F20" s="70"/>
      <c r="G20" s="71"/>
      <c r="H20" s="70"/>
      <c r="I20" s="71"/>
    </row>
    <row r="21" spans="1:9" ht="12.75" thickBot="1" x14ac:dyDescent="0.25">
      <c r="A21" s="146" t="s">
        <v>46</v>
      </c>
      <c r="B21" s="85"/>
      <c r="C21" s="81"/>
      <c r="D21" s="70"/>
      <c r="E21" s="71"/>
      <c r="F21" s="70"/>
      <c r="G21" s="71"/>
      <c r="H21" s="70"/>
      <c r="I21" s="71"/>
    </row>
    <row r="22" spans="1:9" ht="12.75" thickBot="1" x14ac:dyDescent="0.25">
      <c r="A22" s="41" t="s">
        <v>45</v>
      </c>
      <c r="B22" s="44"/>
      <c r="C22" s="44"/>
      <c r="D22" s="42"/>
      <c r="E22" s="45"/>
      <c r="F22" s="42"/>
      <c r="G22" s="45"/>
      <c r="H22" s="42"/>
      <c r="I22" s="45"/>
    </row>
    <row r="23" spans="1:9" x14ac:dyDescent="0.2">
      <c r="A23" s="1" t="s">
        <v>350</v>
      </c>
      <c r="B23" s="2"/>
      <c r="C23" s="2"/>
      <c r="D23" s="2"/>
      <c r="E23" s="2"/>
      <c r="F23" s="2"/>
      <c r="G23" s="2"/>
      <c r="H23" s="2"/>
      <c r="I23" s="2"/>
    </row>
    <row r="24" spans="1:9" x14ac:dyDescent="0.2">
      <c r="A24" s="1" t="s">
        <v>100</v>
      </c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  <c r="B25" s="2"/>
      <c r="C25" s="2"/>
      <c r="D25" s="2"/>
      <c r="E25" s="2"/>
      <c r="F25" s="2"/>
      <c r="G25" s="2"/>
      <c r="H25" s="2"/>
      <c r="I25" s="2"/>
    </row>
    <row r="27" spans="1:9" ht="15.75" x14ac:dyDescent="0.2">
      <c r="A27" s="173" t="s">
        <v>460</v>
      </c>
      <c r="B27" s="166"/>
      <c r="C27" s="166"/>
      <c r="D27" s="166"/>
      <c r="E27" s="166"/>
      <c r="F27" s="166"/>
      <c r="G27" s="166"/>
      <c r="H27" s="166"/>
      <c r="I27" s="166"/>
    </row>
    <row r="28" spans="1:9" ht="13.5" thickBot="1" x14ac:dyDescent="0.25">
      <c r="A28" s="355" t="s">
        <v>476</v>
      </c>
      <c r="B28" s="11"/>
      <c r="C28" s="162"/>
      <c r="D28" s="162"/>
      <c r="E28" s="11"/>
      <c r="F28" s="162"/>
      <c r="G28" s="162"/>
      <c r="H28" s="162"/>
      <c r="I28" s="162"/>
    </row>
    <row r="29" spans="1:9" ht="12.75" thickBot="1" x14ac:dyDescent="0.25">
      <c r="A29" s="508" t="s">
        <v>10</v>
      </c>
      <c r="B29" s="1478" t="s">
        <v>349</v>
      </c>
      <c r="C29" s="1478"/>
      <c r="D29" s="1479" t="s">
        <v>423</v>
      </c>
      <c r="E29" s="1480"/>
      <c r="F29" s="1479" t="s">
        <v>424</v>
      </c>
      <c r="G29" s="1481"/>
      <c r="H29" s="1479" t="s">
        <v>348</v>
      </c>
      <c r="I29" s="1481"/>
    </row>
    <row r="30" spans="1:9" ht="24" x14ac:dyDescent="0.2">
      <c r="A30" s="505" t="s">
        <v>9</v>
      </c>
      <c r="B30" s="242" t="s">
        <v>152</v>
      </c>
      <c r="C30" s="507" t="s">
        <v>27</v>
      </c>
      <c r="D30" s="505" t="s">
        <v>152</v>
      </c>
      <c r="E30" s="504" t="s">
        <v>27</v>
      </c>
      <c r="F30" s="505" t="s">
        <v>152</v>
      </c>
      <c r="G30" s="504" t="s">
        <v>27</v>
      </c>
      <c r="H30" s="505" t="s">
        <v>152</v>
      </c>
      <c r="I30" s="504" t="s">
        <v>27</v>
      </c>
    </row>
    <row r="31" spans="1:9" x14ac:dyDescent="0.2">
      <c r="A31" s="146" t="s">
        <v>149</v>
      </c>
      <c r="B31" s="85"/>
      <c r="C31" s="81"/>
      <c r="D31" s="70"/>
      <c r="E31" s="71"/>
      <c r="F31" s="70"/>
      <c r="G31" s="71"/>
      <c r="H31" s="70"/>
      <c r="I31" s="71"/>
    </row>
    <row r="32" spans="1:9" x14ac:dyDescent="0.2">
      <c r="A32" s="146" t="s">
        <v>181</v>
      </c>
      <c r="B32" s="85"/>
      <c r="C32" s="81"/>
      <c r="D32" s="70"/>
      <c r="E32" s="71"/>
      <c r="F32" s="70"/>
      <c r="G32" s="71"/>
      <c r="H32" s="70"/>
      <c r="I32" s="71"/>
    </row>
    <row r="33" spans="1:9" x14ac:dyDescent="0.2">
      <c r="A33" s="146" t="s">
        <v>179</v>
      </c>
      <c r="B33" s="85"/>
      <c r="C33" s="81"/>
      <c r="D33" s="70"/>
      <c r="E33" s="71"/>
      <c r="F33" s="70"/>
      <c r="G33" s="71"/>
      <c r="H33" s="70"/>
      <c r="I33" s="71"/>
    </row>
    <row r="34" spans="1:9" x14ac:dyDescent="0.2">
      <c r="A34" s="52" t="s">
        <v>188</v>
      </c>
      <c r="B34" s="85"/>
      <c r="C34" s="81"/>
      <c r="D34" s="70"/>
      <c r="E34" s="71"/>
      <c r="F34" s="70"/>
      <c r="G34" s="71"/>
      <c r="H34" s="70"/>
      <c r="I34" s="71"/>
    </row>
    <row r="35" spans="1:9" x14ac:dyDescent="0.2">
      <c r="A35" s="146" t="s">
        <v>182</v>
      </c>
      <c r="B35" s="85"/>
      <c r="C35" s="81"/>
      <c r="D35" s="70"/>
      <c r="E35" s="71"/>
      <c r="F35" s="70"/>
      <c r="G35" s="71"/>
      <c r="H35" s="70"/>
      <c r="I35" s="71"/>
    </row>
    <row r="36" spans="1:9" x14ac:dyDescent="0.2">
      <c r="A36" s="52" t="s">
        <v>180</v>
      </c>
      <c r="B36" s="85"/>
      <c r="C36" s="81"/>
      <c r="D36" s="70"/>
      <c r="E36" s="71"/>
      <c r="F36" s="70"/>
      <c r="G36" s="71"/>
      <c r="H36" s="70"/>
      <c r="I36" s="71"/>
    </row>
    <row r="37" spans="1:9" x14ac:dyDescent="0.2">
      <c r="A37" s="146" t="s">
        <v>187</v>
      </c>
      <c r="B37" s="85"/>
      <c r="C37" s="81"/>
      <c r="D37" s="70"/>
      <c r="E37" s="71"/>
      <c r="F37" s="70"/>
      <c r="G37" s="71"/>
      <c r="H37" s="70"/>
      <c r="I37" s="71"/>
    </row>
    <row r="38" spans="1:9" x14ac:dyDescent="0.2">
      <c r="A38" s="146" t="s">
        <v>29</v>
      </c>
      <c r="B38" s="85"/>
      <c r="C38" s="81"/>
      <c r="D38" s="70"/>
      <c r="E38" s="71"/>
      <c r="F38" s="70"/>
      <c r="G38" s="71"/>
      <c r="H38" s="70"/>
      <c r="I38" s="71"/>
    </row>
    <row r="39" spans="1:9" x14ac:dyDescent="0.2">
      <c r="A39" s="146" t="s">
        <v>184</v>
      </c>
      <c r="B39" s="85"/>
      <c r="C39" s="81"/>
      <c r="D39" s="70"/>
      <c r="E39" s="71"/>
      <c r="F39" s="70"/>
      <c r="G39" s="71"/>
      <c r="H39" s="70"/>
      <c r="I39" s="71"/>
    </row>
    <row r="40" spans="1:9" x14ac:dyDescent="0.2">
      <c r="A40" s="146" t="s">
        <v>28</v>
      </c>
      <c r="B40" s="85"/>
      <c r="C40" s="81"/>
      <c r="D40" s="70"/>
      <c r="E40" s="71"/>
      <c r="F40" s="70"/>
      <c r="G40" s="71"/>
      <c r="H40" s="70"/>
      <c r="I40" s="71"/>
    </row>
    <row r="41" spans="1:9" x14ac:dyDescent="0.2">
      <c r="A41" s="146" t="s">
        <v>185</v>
      </c>
      <c r="B41" s="85"/>
      <c r="C41" s="81"/>
      <c r="D41" s="70"/>
      <c r="E41" s="71"/>
      <c r="F41" s="70"/>
      <c r="G41" s="71"/>
      <c r="H41" s="70"/>
      <c r="I41" s="71"/>
    </row>
    <row r="42" spans="1:9" x14ac:dyDescent="0.2">
      <c r="A42" s="146" t="s">
        <v>183</v>
      </c>
      <c r="B42" s="85"/>
      <c r="C42" s="81"/>
      <c r="D42" s="70"/>
      <c r="E42" s="71"/>
      <c r="F42" s="70"/>
      <c r="G42" s="71"/>
      <c r="H42" s="70"/>
      <c r="I42" s="71"/>
    </row>
    <row r="43" spans="1:9" x14ac:dyDescent="0.2">
      <c r="A43" s="146" t="s">
        <v>186</v>
      </c>
      <c r="B43" s="85"/>
      <c r="C43" s="81"/>
      <c r="D43" s="70"/>
      <c r="E43" s="71"/>
      <c r="F43" s="70"/>
      <c r="G43" s="71"/>
      <c r="H43" s="70"/>
      <c r="I43" s="71"/>
    </row>
    <row r="44" spans="1:9" x14ac:dyDescent="0.2">
      <c r="A44" s="146" t="s">
        <v>30</v>
      </c>
      <c r="B44" s="85"/>
      <c r="C44" s="81"/>
      <c r="D44" s="70"/>
      <c r="E44" s="71"/>
      <c r="F44" s="70"/>
      <c r="G44" s="71"/>
      <c r="H44" s="70"/>
      <c r="I44" s="71"/>
    </row>
    <row r="45" spans="1:9" x14ac:dyDescent="0.2">
      <c r="A45" s="146" t="s">
        <v>178</v>
      </c>
      <c r="B45" s="85"/>
      <c r="C45" s="81"/>
      <c r="D45" s="70"/>
      <c r="E45" s="71"/>
      <c r="F45" s="70"/>
      <c r="G45" s="71"/>
      <c r="H45" s="70"/>
      <c r="I45" s="71"/>
    </row>
    <row r="46" spans="1:9" ht="12.75" thickBot="1" x14ac:dyDescent="0.25">
      <c r="A46" s="146" t="s">
        <v>46</v>
      </c>
      <c r="B46" s="85"/>
      <c r="C46" s="81"/>
      <c r="D46" s="70"/>
      <c r="E46" s="71"/>
      <c r="F46" s="70"/>
      <c r="G46" s="71"/>
      <c r="H46" s="70"/>
      <c r="I46" s="71"/>
    </row>
    <row r="47" spans="1:9" ht="12.75" thickBot="1" x14ac:dyDescent="0.25">
      <c r="A47" s="41" t="s">
        <v>45</v>
      </c>
      <c r="B47" s="44"/>
      <c r="C47" s="44"/>
      <c r="D47" s="42"/>
      <c r="E47" s="45"/>
      <c r="F47" s="42"/>
      <c r="G47" s="45"/>
      <c r="H47" s="42"/>
      <c r="I47" s="45"/>
    </row>
    <row r="48" spans="1:9" x14ac:dyDescent="0.2">
      <c r="A48" s="1" t="s">
        <v>350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 t="s">
        <v>100</v>
      </c>
      <c r="B49" s="2"/>
      <c r="C49" s="2"/>
      <c r="D49" s="2"/>
      <c r="E49" s="2"/>
      <c r="F49" s="2"/>
      <c r="G49" s="2"/>
      <c r="H49" s="2"/>
      <c r="I49" s="2"/>
    </row>
    <row r="50" spans="1:9" s="162" customFormat="1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s="162" customFormat="1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A52" s="561" t="s">
        <v>4264</v>
      </c>
      <c r="B52" s="1149"/>
      <c r="C52" s="1149"/>
      <c r="D52" s="1149"/>
      <c r="E52" s="1149"/>
      <c r="F52" s="1149"/>
      <c r="G52" s="1150"/>
      <c r="H52" s="562"/>
      <c r="I52" s="562"/>
    </row>
    <row r="53" spans="1:9" ht="15.75" x14ac:dyDescent="0.2">
      <c r="A53" s="561" t="s">
        <v>4261</v>
      </c>
      <c r="B53" s="562"/>
      <c r="C53" s="562"/>
      <c r="D53" s="562"/>
      <c r="E53" s="562"/>
      <c r="F53" s="562"/>
      <c r="G53" s="562"/>
      <c r="H53" s="562"/>
      <c r="I53" s="562"/>
    </row>
    <row r="54" spans="1:9" ht="13.5" thickBot="1" x14ac:dyDescent="0.25">
      <c r="A54" s="561" t="s">
        <v>4262</v>
      </c>
      <c r="B54" s="11"/>
      <c r="C54" s="162"/>
      <c r="D54" s="162"/>
      <c r="E54" s="11"/>
      <c r="F54" s="162"/>
      <c r="G54" s="162"/>
      <c r="H54" s="162"/>
      <c r="I54" s="162"/>
    </row>
    <row r="55" spans="1:9" ht="12.75" thickBot="1" x14ac:dyDescent="0.25">
      <c r="A55" s="508" t="s">
        <v>10</v>
      </c>
      <c r="B55" s="1478" t="s">
        <v>349</v>
      </c>
      <c r="C55" s="1478"/>
      <c r="D55" s="1479" t="s">
        <v>423</v>
      </c>
      <c r="E55" s="1480"/>
      <c r="F55" s="1479" t="s">
        <v>424</v>
      </c>
      <c r="G55" s="1481"/>
      <c r="H55" s="1479" t="s">
        <v>348</v>
      </c>
      <c r="I55" s="1481"/>
    </row>
    <row r="56" spans="1:9" ht="24" x14ac:dyDescent="0.2">
      <c r="A56" s="505" t="s">
        <v>9</v>
      </c>
      <c r="B56" s="242" t="s">
        <v>152</v>
      </c>
      <c r="C56" s="507" t="s">
        <v>27</v>
      </c>
      <c r="D56" s="505" t="s">
        <v>152</v>
      </c>
      <c r="E56" s="504" t="s">
        <v>27</v>
      </c>
      <c r="F56" s="505" t="s">
        <v>152</v>
      </c>
      <c r="G56" s="504" t="s">
        <v>27</v>
      </c>
      <c r="H56" s="505" t="s">
        <v>152</v>
      </c>
      <c r="I56" s="504" t="s">
        <v>27</v>
      </c>
    </row>
    <row r="57" spans="1:9" x14ac:dyDescent="0.2">
      <c r="A57" s="587" t="s">
        <v>149</v>
      </c>
      <c r="B57" s="756">
        <v>175</v>
      </c>
      <c r="C57" s="1278">
        <v>3276862</v>
      </c>
      <c r="D57" s="756">
        <v>172</v>
      </c>
      <c r="E57" s="1278">
        <v>3438983</v>
      </c>
      <c r="F57" s="756">
        <v>172</v>
      </c>
      <c r="G57" s="1278">
        <v>3723251</v>
      </c>
      <c r="H57" s="756">
        <f>D57-B57</f>
        <v>-3</v>
      </c>
      <c r="I57" s="1279">
        <f>E57-C57</f>
        <v>162121</v>
      </c>
    </row>
    <row r="58" spans="1:9" x14ac:dyDescent="0.2">
      <c r="A58" s="587" t="s">
        <v>181</v>
      </c>
      <c r="B58" s="756"/>
      <c r="C58" s="1278"/>
      <c r="D58" s="756"/>
      <c r="E58" s="1278"/>
      <c r="F58" s="756"/>
      <c r="G58" s="1278"/>
      <c r="H58" s="756"/>
      <c r="I58" s="1279"/>
    </row>
    <row r="59" spans="1:9" x14ac:dyDescent="0.2">
      <c r="A59" s="587" t="s">
        <v>179</v>
      </c>
      <c r="B59" s="756"/>
      <c r="C59" s="1278"/>
      <c r="D59" s="756"/>
      <c r="E59" s="1278"/>
      <c r="F59" s="756"/>
      <c r="G59" s="1278"/>
      <c r="H59" s="756"/>
      <c r="I59" s="1279"/>
    </row>
    <row r="60" spans="1:9" x14ac:dyDescent="0.2">
      <c r="A60" s="593" t="s">
        <v>188</v>
      </c>
      <c r="B60" s="756"/>
      <c r="C60" s="1278"/>
      <c r="D60" s="756"/>
      <c r="E60" s="1278"/>
      <c r="F60" s="756"/>
      <c r="G60" s="1278"/>
      <c r="H60" s="756"/>
      <c r="I60" s="1279"/>
    </row>
    <row r="61" spans="1:9" x14ac:dyDescent="0.2">
      <c r="A61" s="587" t="s">
        <v>182</v>
      </c>
      <c r="B61" s="756"/>
      <c r="C61" s="1278"/>
      <c r="D61" s="756"/>
      <c r="E61" s="1278"/>
      <c r="F61" s="756"/>
      <c r="G61" s="1278"/>
      <c r="H61" s="756"/>
      <c r="I61" s="1279"/>
    </row>
    <row r="62" spans="1:9" x14ac:dyDescent="0.2">
      <c r="A62" s="593" t="s">
        <v>180</v>
      </c>
      <c r="B62" s="756">
        <v>175</v>
      </c>
      <c r="C62" s="1278">
        <v>165000</v>
      </c>
      <c r="D62" s="756">
        <v>172</v>
      </c>
      <c r="E62" s="1278">
        <v>130000</v>
      </c>
      <c r="F62" s="756">
        <v>172</v>
      </c>
      <c r="G62" s="1278">
        <f>68800+61000+37000</f>
        <v>166800</v>
      </c>
      <c r="H62" s="756">
        <f>D62-B62</f>
        <v>-3</v>
      </c>
      <c r="I62" s="1279">
        <f>E62-C62</f>
        <v>-35000</v>
      </c>
    </row>
    <row r="63" spans="1:9" x14ac:dyDescent="0.2">
      <c r="A63" s="587" t="s">
        <v>187</v>
      </c>
      <c r="B63" s="756"/>
      <c r="C63" s="1278"/>
      <c r="D63" s="756"/>
      <c r="E63" s="1278"/>
      <c r="F63" s="756"/>
      <c r="G63" s="1278"/>
      <c r="H63" s="756"/>
      <c r="I63" s="1279"/>
    </row>
    <row r="64" spans="1:9" x14ac:dyDescent="0.2">
      <c r="A64" s="587" t="s">
        <v>29</v>
      </c>
      <c r="B64" s="756"/>
      <c r="C64" s="1278"/>
      <c r="D64" s="756"/>
      <c r="E64" s="1278"/>
      <c r="F64" s="756"/>
      <c r="G64" s="1278"/>
      <c r="H64" s="756"/>
      <c r="I64" s="1279"/>
    </row>
    <row r="65" spans="1:9" x14ac:dyDescent="0.2">
      <c r="A65" s="587" t="s">
        <v>184</v>
      </c>
      <c r="B65" s="756"/>
      <c r="C65" s="1278"/>
      <c r="D65" s="756"/>
      <c r="E65" s="1278"/>
      <c r="F65" s="756"/>
      <c r="G65" s="1278"/>
      <c r="H65" s="756"/>
      <c r="I65" s="1279"/>
    </row>
    <row r="66" spans="1:9" x14ac:dyDescent="0.2">
      <c r="A66" s="587" t="s">
        <v>28</v>
      </c>
      <c r="B66" s="756">
        <v>175</v>
      </c>
      <c r="C66" s="1278">
        <f>96000+60000+53054</f>
        <v>209054</v>
      </c>
      <c r="D66" s="756">
        <v>172</v>
      </c>
      <c r="E66" s="1278">
        <f>116000+50000+75500+5000</f>
        <v>246500</v>
      </c>
      <c r="F66" s="756">
        <v>172</v>
      </c>
      <c r="G66" s="1278">
        <v>246500</v>
      </c>
      <c r="H66" s="756">
        <f>D66-B66</f>
        <v>-3</v>
      </c>
      <c r="I66" s="1279">
        <f>E66-C66</f>
        <v>37446</v>
      </c>
    </row>
    <row r="67" spans="1:9" x14ac:dyDescent="0.2">
      <c r="A67" s="587" t="s">
        <v>185</v>
      </c>
      <c r="B67" s="756"/>
      <c r="C67" s="1278"/>
      <c r="D67" s="756"/>
      <c r="E67" s="1278"/>
      <c r="F67" s="756"/>
      <c r="G67" s="1278"/>
      <c r="H67" s="756"/>
      <c r="I67" s="1279"/>
    </row>
    <row r="68" spans="1:9" x14ac:dyDescent="0.2">
      <c r="A68" s="587" t="s">
        <v>183</v>
      </c>
      <c r="B68" s="756"/>
      <c r="C68" s="1278"/>
      <c r="D68" s="756"/>
      <c r="E68" s="1278"/>
      <c r="F68" s="756"/>
      <c r="G68" s="1278"/>
      <c r="H68" s="756"/>
      <c r="I68" s="1279"/>
    </row>
    <row r="69" spans="1:9" x14ac:dyDescent="0.2">
      <c r="A69" s="587" t="s">
        <v>186</v>
      </c>
      <c r="B69" s="756"/>
      <c r="C69" s="1278"/>
      <c r="D69" s="756"/>
      <c r="E69" s="1278"/>
      <c r="F69" s="756"/>
      <c r="G69" s="1278"/>
      <c r="H69" s="756"/>
      <c r="I69" s="1279"/>
    </row>
    <row r="70" spans="1:9" x14ac:dyDescent="0.2">
      <c r="A70" s="587" t="s">
        <v>30</v>
      </c>
      <c r="B70" s="756">
        <v>96</v>
      </c>
      <c r="C70" s="1278">
        <v>1099800</v>
      </c>
      <c r="D70" s="756">
        <v>96</v>
      </c>
      <c r="E70" s="1278">
        <v>1160800</v>
      </c>
      <c r="F70" s="756">
        <v>96</v>
      </c>
      <c r="G70" s="1278">
        <f>498800+662000</f>
        <v>1160800</v>
      </c>
      <c r="H70" s="756">
        <f>B70-D70</f>
        <v>0</v>
      </c>
      <c r="I70" s="1279">
        <f>E70-C70</f>
        <v>61000</v>
      </c>
    </row>
    <row r="71" spans="1:9" x14ac:dyDescent="0.2">
      <c r="A71" s="587" t="s">
        <v>178</v>
      </c>
      <c r="B71" s="1280">
        <v>96</v>
      </c>
      <c r="C71" s="1279">
        <v>50000</v>
      </c>
      <c r="D71" s="756">
        <v>96</v>
      </c>
      <c r="E71" s="1278">
        <v>50000</v>
      </c>
      <c r="F71" s="756">
        <v>96</v>
      </c>
      <c r="G71" s="1278">
        <v>50000</v>
      </c>
      <c r="H71" s="756">
        <f>B71-D71</f>
        <v>0</v>
      </c>
      <c r="I71" s="1279">
        <f>C71-E71</f>
        <v>0</v>
      </c>
    </row>
    <row r="72" spans="1:9" ht="12.75" thickBot="1" x14ac:dyDescent="0.25">
      <c r="A72" s="587" t="s">
        <v>46</v>
      </c>
      <c r="B72" s="756"/>
      <c r="C72" s="1278"/>
      <c r="D72" s="756"/>
      <c r="E72" s="1278"/>
      <c r="F72" s="756"/>
      <c r="G72" s="1278"/>
      <c r="H72" s="1281"/>
      <c r="I72" s="1279"/>
    </row>
    <row r="73" spans="1:9" ht="12.75" thickBot="1" x14ac:dyDescent="0.25">
      <c r="A73" s="41" t="s">
        <v>45</v>
      </c>
      <c r="B73" s="42">
        <v>175</v>
      </c>
      <c r="C73" s="1274">
        <f>SUM(C57:C72)</f>
        <v>4800716</v>
      </c>
      <c r="D73" s="42">
        <v>172</v>
      </c>
      <c r="E73" s="1274">
        <f>SUM(E57:E72)</f>
        <v>5026283</v>
      </c>
      <c r="F73" s="42">
        <v>172</v>
      </c>
      <c r="G73" s="1274">
        <f t="shared" ref="G73:I73" si="0">SUM(G57:G72)</f>
        <v>5347351</v>
      </c>
      <c r="H73" s="42">
        <v>3</v>
      </c>
      <c r="I73" s="1274">
        <f t="shared" si="0"/>
        <v>225567</v>
      </c>
    </row>
    <row r="74" spans="1:9" x14ac:dyDescent="0.2">
      <c r="A74" s="574" t="s">
        <v>350</v>
      </c>
      <c r="B74" s="490"/>
      <c r="C74" s="490"/>
      <c r="D74" s="490"/>
      <c r="E74" s="490"/>
      <c r="F74" s="490"/>
      <c r="G74" s="490"/>
      <c r="H74" s="490"/>
      <c r="I74" s="490"/>
    </row>
    <row r="75" spans="1:9" x14ac:dyDescent="0.2">
      <c r="A75" s="574" t="s">
        <v>100</v>
      </c>
      <c r="B75" s="490"/>
      <c r="C75" s="490"/>
      <c r="D75" s="490"/>
      <c r="E75" s="490"/>
      <c r="F75" s="490"/>
      <c r="G75" s="490"/>
      <c r="H75" s="490"/>
      <c r="I75" s="490"/>
    </row>
    <row r="76" spans="1:9" ht="15.75" x14ac:dyDescent="0.2">
      <c r="A76" s="173" t="s">
        <v>460</v>
      </c>
      <c r="B76" s="166"/>
      <c r="C76" s="166"/>
      <c r="D76" s="166"/>
      <c r="E76" s="166"/>
      <c r="F76" s="166"/>
      <c r="G76" s="166"/>
      <c r="H76" s="166"/>
      <c r="I76" s="166"/>
    </row>
    <row r="77" spans="1:9" ht="13.5" thickBot="1" x14ac:dyDescent="0.25">
      <c r="A77" s="355" t="s">
        <v>476</v>
      </c>
      <c r="B77" s="11"/>
      <c r="C77" s="162"/>
      <c r="D77" s="162"/>
      <c r="E77" s="11"/>
      <c r="F77" s="162"/>
      <c r="G77" s="162"/>
      <c r="H77" s="162"/>
      <c r="I77" s="162"/>
    </row>
    <row r="78" spans="1:9" ht="12.75" thickBot="1" x14ac:dyDescent="0.25">
      <c r="A78" s="508" t="s">
        <v>10</v>
      </c>
      <c r="B78" s="1478" t="s">
        <v>349</v>
      </c>
      <c r="C78" s="1478"/>
      <c r="D78" s="1479" t="s">
        <v>423</v>
      </c>
      <c r="E78" s="1480"/>
      <c r="F78" s="1479" t="s">
        <v>424</v>
      </c>
      <c r="G78" s="1481"/>
      <c r="H78" s="1479" t="s">
        <v>348</v>
      </c>
      <c r="I78" s="1481"/>
    </row>
    <row r="79" spans="1:9" ht="24" x14ac:dyDescent="0.2">
      <c r="A79" s="505" t="s">
        <v>9</v>
      </c>
      <c r="B79" s="242" t="s">
        <v>152</v>
      </c>
      <c r="C79" s="507" t="s">
        <v>27</v>
      </c>
      <c r="D79" s="505" t="s">
        <v>152</v>
      </c>
      <c r="E79" s="504" t="s">
        <v>27</v>
      </c>
      <c r="F79" s="505" t="s">
        <v>152</v>
      </c>
      <c r="G79" s="504" t="s">
        <v>27</v>
      </c>
      <c r="H79" s="505" t="s">
        <v>152</v>
      </c>
      <c r="I79" s="504" t="s">
        <v>27</v>
      </c>
    </row>
    <row r="80" spans="1:9" x14ac:dyDescent="0.2">
      <c r="A80" s="146" t="s">
        <v>149</v>
      </c>
      <c r="B80" s="85"/>
      <c r="C80" s="81"/>
      <c r="D80" s="70"/>
      <c r="E80" s="71"/>
      <c r="F80" s="70"/>
      <c r="G80" s="71"/>
      <c r="H80" s="70"/>
      <c r="I80" s="71"/>
    </row>
    <row r="81" spans="1:9" x14ac:dyDescent="0.2">
      <c r="A81" s="146" t="s">
        <v>181</v>
      </c>
      <c r="B81" s="85"/>
      <c r="C81" s="81"/>
      <c r="D81" s="70"/>
      <c r="E81" s="71"/>
      <c r="F81" s="70"/>
      <c r="G81" s="71"/>
      <c r="H81" s="70"/>
      <c r="I81" s="71"/>
    </row>
    <row r="82" spans="1:9" x14ac:dyDescent="0.2">
      <c r="A82" s="146" t="s">
        <v>179</v>
      </c>
      <c r="B82" s="85"/>
      <c r="C82" s="81"/>
      <c r="D82" s="70"/>
      <c r="E82" s="71"/>
      <c r="F82" s="70"/>
      <c r="G82" s="71"/>
      <c r="H82" s="70"/>
      <c r="I82" s="71"/>
    </row>
    <row r="83" spans="1:9" x14ac:dyDescent="0.2">
      <c r="A83" s="52" t="s">
        <v>188</v>
      </c>
      <c r="B83" s="85"/>
      <c r="C83" s="81"/>
      <c r="D83" s="70"/>
      <c r="E83" s="71"/>
      <c r="F83" s="70"/>
      <c r="G83" s="71"/>
      <c r="H83" s="70"/>
      <c r="I83" s="71"/>
    </row>
    <row r="84" spans="1:9" x14ac:dyDescent="0.2">
      <c r="A84" s="146" t="s">
        <v>182</v>
      </c>
      <c r="B84" s="85"/>
      <c r="C84" s="81"/>
      <c r="D84" s="70"/>
      <c r="E84" s="71"/>
      <c r="F84" s="70"/>
      <c r="G84" s="71"/>
      <c r="H84" s="70"/>
      <c r="I84" s="71"/>
    </row>
    <row r="85" spans="1:9" x14ac:dyDescent="0.2">
      <c r="A85" s="52" t="s">
        <v>180</v>
      </c>
      <c r="B85" s="85"/>
      <c r="C85" s="81"/>
      <c r="D85" s="70"/>
      <c r="E85" s="71"/>
      <c r="F85" s="70"/>
      <c r="G85" s="71"/>
      <c r="H85" s="70"/>
      <c r="I85" s="71"/>
    </row>
    <row r="86" spans="1:9" x14ac:dyDescent="0.2">
      <c r="A86" s="146" t="s">
        <v>187</v>
      </c>
      <c r="B86" s="85"/>
      <c r="C86" s="81"/>
      <c r="D86" s="70"/>
      <c r="E86" s="71"/>
      <c r="F86" s="70"/>
      <c r="G86" s="71"/>
      <c r="H86" s="70"/>
      <c r="I86" s="71"/>
    </row>
    <row r="87" spans="1:9" x14ac:dyDescent="0.2">
      <c r="A87" s="146" t="s">
        <v>29</v>
      </c>
      <c r="B87" s="85"/>
      <c r="C87" s="81"/>
      <c r="D87" s="70"/>
      <c r="E87" s="71"/>
      <c r="F87" s="70"/>
      <c r="G87" s="71"/>
      <c r="H87" s="70"/>
      <c r="I87" s="71"/>
    </row>
    <row r="88" spans="1:9" x14ac:dyDescent="0.2">
      <c r="A88" s="146" t="s">
        <v>184</v>
      </c>
      <c r="B88" s="85"/>
      <c r="C88" s="81"/>
      <c r="D88" s="70"/>
      <c r="E88" s="71"/>
      <c r="F88" s="70"/>
      <c r="G88" s="71"/>
      <c r="H88" s="70"/>
      <c r="I88" s="71"/>
    </row>
    <row r="89" spans="1:9" x14ac:dyDescent="0.2">
      <c r="A89" s="146" t="s">
        <v>28</v>
      </c>
      <c r="B89" s="85"/>
      <c r="C89" s="81"/>
      <c r="D89" s="70"/>
      <c r="E89" s="71"/>
      <c r="F89" s="70"/>
      <c r="G89" s="71"/>
      <c r="H89" s="70"/>
      <c r="I89" s="71"/>
    </row>
    <row r="90" spans="1:9" x14ac:dyDescent="0.2">
      <c r="A90" s="146" t="s">
        <v>185</v>
      </c>
      <c r="B90" s="85"/>
      <c r="C90" s="81"/>
      <c r="D90" s="70"/>
      <c r="E90" s="71"/>
      <c r="F90" s="70"/>
      <c r="G90" s="71"/>
      <c r="H90" s="70"/>
      <c r="I90" s="71"/>
    </row>
    <row r="91" spans="1:9" x14ac:dyDescent="0.2">
      <c r="A91" s="146" t="s">
        <v>183</v>
      </c>
      <c r="B91" s="85"/>
      <c r="C91" s="81"/>
      <c r="D91" s="70"/>
      <c r="E91" s="71"/>
      <c r="F91" s="70"/>
      <c r="G91" s="71"/>
      <c r="H91" s="70"/>
      <c r="I91" s="71"/>
    </row>
    <row r="92" spans="1:9" x14ac:dyDescent="0.2">
      <c r="A92" s="146" t="s">
        <v>186</v>
      </c>
      <c r="B92" s="85"/>
      <c r="C92" s="81"/>
      <c r="D92" s="70"/>
      <c r="E92" s="71"/>
      <c r="F92" s="70"/>
      <c r="G92" s="71"/>
      <c r="H92" s="70"/>
      <c r="I92" s="71"/>
    </row>
    <row r="93" spans="1:9" x14ac:dyDescent="0.2">
      <c r="A93" s="146" t="s">
        <v>30</v>
      </c>
      <c r="B93" s="85"/>
      <c r="C93" s="81"/>
      <c r="D93" s="70"/>
      <c r="E93" s="71"/>
      <c r="F93" s="70"/>
      <c r="G93" s="71"/>
      <c r="H93" s="70"/>
      <c r="I93" s="71"/>
    </row>
    <row r="94" spans="1:9" x14ac:dyDescent="0.2">
      <c r="A94" s="146" t="s">
        <v>178</v>
      </c>
      <c r="B94" s="85"/>
      <c r="C94" s="81"/>
      <c r="D94" s="70"/>
      <c r="E94" s="71"/>
      <c r="F94" s="70"/>
      <c r="G94" s="71"/>
      <c r="H94" s="70"/>
      <c r="I94" s="71"/>
    </row>
    <row r="95" spans="1:9" ht="12.75" thickBot="1" x14ac:dyDescent="0.25">
      <c r="A95" s="146" t="s">
        <v>46</v>
      </c>
      <c r="B95" s="85"/>
      <c r="C95" s="81"/>
      <c r="D95" s="70"/>
      <c r="E95" s="71"/>
      <c r="F95" s="70"/>
      <c r="G95" s="71"/>
      <c r="H95" s="70"/>
      <c r="I95" s="71"/>
    </row>
    <row r="96" spans="1:9" ht="12.75" thickBot="1" x14ac:dyDescent="0.25">
      <c r="A96" s="41" t="s">
        <v>45</v>
      </c>
      <c r="B96" s="44"/>
      <c r="C96" s="44"/>
      <c r="D96" s="42"/>
      <c r="E96" s="45"/>
      <c r="F96" s="42"/>
      <c r="G96" s="45"/>
      <c r="H96" s="42"/>
      <c r="I96" s="45"/>
    </row>
    <row r="97" spans="1:9" x14ac:dyDescent="0.2">
      <c r="A97" s="1" t="s">
        <v>350</v>
      </c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" t="s">
        <v>100</v>
      </c>
      <c r="B98" s="2"/>
      <c r="C98" s="2"/>
      <c r="D98" s="2"/>
      <c r="E98" s="2"/>
      <c r="F98" s="2"/>
      <c r="G98" s="2"/>
      <c r="H98" s="2"/>
      <c r="I98" s="2"/>
    </row>
    <row r="99" spans="1:9" s="162" customFormat="1" x14ac:dyDescent="0.2">
      <c r="A99" s="1"/>
      <c r="B99" s="2"/>
      <c r="C99" s="2"/>
      <c r="D99" s="2"/>
      <c r="E99" s="2"/>
      <c r="F99" s="2"/>
      <c r="G99" s="2"/>
      <c r="H99" s="2"/>
      <c r="I99" s="2"/>
    </row>
    <row r="100" spans="1:9" s="162" customFormat="1" x14ac:dyDescent="0.2">
      <c r="A100" s="1"/>
      <c r="B100" s="2"/>
      <c r="C100" s="2"/>
      <c r="D100" s="2"/>
      <c r="E100" s="2"/>
      <c r="F100" s="2"/>
      <c r="G100" s="2"/>
      <c r="H100" s="2"/>
      <c r="I100" s="2"/>
    </row>
    <row r="101" spans="1:9" ht="13.5" thickBot="1" x14ac:dyDescent="0.25">
      <c r="A101" s="355" t="s">
        <v>1446</v>
      </c>
    </row>
    <row r="102" spans="1:9" ht="12.75" thickBot="1" x14ac:dyDescent="0.25">
      <c r="A102" s="508" t="s">
        <v>10</v>
      </c>
      <c r="B102" s="1478" t="s">
        <v>349</v>
      </c>
      <c r="C102" s="1478"/>
      <c r="D102" s="1479" t="s">
        <v>423</v>
      </c>
      <c r="E102" s="1480"/>
      <c r="F102" s="1479" t="s">
        <v>424</v>
      </c>
      <c r="G102" s="1481"/>
      <c r="H102" s="1479" t="s">
        <v>1447</v>
      </c>
      <c r="I102" s="1481"/>
    </row>
    <row r="103" spans="1:9" ht="24" x14ac:dyDescent="0.2">
      <c r="A103" s="505" t="s">
        <v>9</v>
      </c>
      <c r="B103" s="242" t="s">
        <v>152</v>
      </c>
      <c r="C103" s="507" t="s">
        <v>27</v>
      </c>
      <c r="D103" s="505" t="s">
        <v>152</v>
      </c>
      <c r="E103" s="504" t="s">
        <v>27</v>
      </c>
      <c r="F103" s="505" t="s">
        <v>152</v>
      </c>
      <c r="G103" s="504" t="s">
        <v>27</v>
      </c>
      <c r="H103" s="505" t="s">
        <v>152</v>
      </c>
      <c r="I103" s="504" t="s">
        <v>27</v>
      </c>
    </row>
    <row r="104" spans="1:9" ht="12.75" x14ac:dyDescent="0.2">
      <c r="A104" s="587" t="s">
        <v>149</v>
      </c>
      <c r="B104" s="588">
        <v>1436</v>
      </c>
      <c r="C104" s="589">
        <v>42873966</v>
      </c>
      <c r="D104" s="590">
        <v>1490</v>
      </c>
      <c r="E104" s="589">
        <v>46305358</v>
      </c>
      <c r="F104" s="590">
        <v>1515</v>
      </c>
      <c r="G104" s="591">
        <v>51843426</v>
      </c>
      <c r="H104" s="590">
        <f>F104-D104</f>
        <v>25</v>
      </c>
      <c r="I104" s="591">
        <f>G104-E104</f>
        <v>5538068</v>
      </c>
    </row>
    <row r="105" spans="1:9" ht="12.75" x14ac:dyDescent="0.2">
      <c r="A105" s="587" t="s">
        <v>181</v>
      </c>
      <c r="B105" s="588"/>
      <c r="C105" s="589"/>
      <c r="D105" s="590"/>
      <c r="E105" s="589"/>
      <c r="F105" s="590"/>
      <c r="G105" s="591"/>
      <c r="H105" s="590"/>
      <c r="I105" s="592"/>
    </row>
    <row r="106" spans="1:9" ht="12.75" x14ac:dyDescent="0.2">
      <c r="A106" s="587" t="s">
        <v>179</v>
      </c>
      <c r="B106" s="588"/>
      <c r="C106" s="589"/>
      <c r="D106" s="590"/>
      <c r="E106" s="589"/>
      <c r="F106" s="590"/>
      <c r="G106" s="591"/>
      <c r="H106" s="590"/>
      <c r="I106" s="592"/>
    </row>
    <row r="107" spans="1:9" ht="12.75" x14ac:dyDescent="0.2">
      <c r="A107" s="593" t="s">
        <v>188</v>
      </c>
      <c r="B107" s="588"/>
      <c r="C107" s="589"/>
      <c r="D107" s="590"/>
      <c r="E107" s="589"/>
      <c r="F107" s="590"/>
      <c r="G107" s="591"/>
      <c r="H107" s="590"/>
      <c r="I107" s="592"/>
    </row>
    <row r="108" spans="1:9" ht="12.75" x14ac:dyDescent="0.2">
      <c r="A108" s="587" t="s">
        <v>182</v>
      </c>
      <c r="B108" s="588"/>
      <c r="C108" s="589"/>
      <c r="D108" s="590"/>
      <c r="E108" s="589"/>
      <c r="F108" s="590"/>
      <c r="G108" s="591"/>
      <c r="H108" s="590"/>
      <c r="I108" s="592"/>
    </row>
    <row r="109" spans="1:9" ht="12.75" x14ac:dyDescent="0.2">
      <c r="A109" s="593" t="s">
        <v>180</v>
      </c>
      <c r="B109" s="588">
        <v>1436</v>
      </c>
      <c r="C109" s="589">
        <v>1412800</v>
      </c>
      <c r="D109" s="590">
        <v>1490</v>
      </c>
      <c r="E109" s="589">
        <f>881400+620800</f>
        <v>1502200</v>
      </c>
      <c r="F109" s="590">
        <v>1515</v>
      </c>
      <c r="G109" s="591">
        <v>1522000</v>
      </c>
      <c r="H109" s="590">
        <f>F109-D109</f>
        <v>25</v>
      </c>
      <c r="I109" s="591">
        <f>G109-E109</f>
        <v>19800</v>
      </c>
    </row>
    <row r="110" spans="1:9" ht="12.75" x14ac:dyDescent="0.2">
      <c r="A110" s="587" t="s">
        <v>187</v>
      </c>
      <c r="B110" s="588"/>
      <c r="C110" s="589"/>
      <c r="D110" s="590"/>
      <c r="E110" s="589"/>
      <c r="F110" s="590"/>
      <c r="G110" s="591"/>
      <c r="H110" s="590"/>
      <c r="I110" s="592"/>
    </row>
    <row r="111" spans="1:9" ht="12.75" x14ac:dyDescent="0.2">
      <c r="A111" s="587" t="s">
        <v>29</v>
      </c>
      <c r="B111" s="588"/>
      <c r="C111" s="589"/>
      <c r="D111" s="590"/>
      <c r="E111" s="589"/>
      <c r="F111" s="590"/>
      <c r="G111" s="591"/>
      <c r="H111" s="590"/>
      <c r="I111" s="592"/>
    </row>
    <row r="112" spans="1:9" ht="12.75" x14ac:dyDescent="0.2">
      <c r="A112" s="587" t="s">
        <v>184</v>
      </c>
      <c r="B112" s="588"/>
      <c r="C112" s="589"/>
      <c r="D112" s="590"/>
      <c r="E112" s="589"/>
      <c r="F112" s="590"/>
      <c r="G112" s="591"/>
      <c r="H112" s="590"/>
      <c r="I112" s="592"/>
    </row>
    <row r="113" spans="1:9" ht="12.75" x14ac:dyDescent="0.2">
      <c r="A113" s="587" t="s">
        <v>28</v>
      </c>
      <c r="B113" s="588">
        <v>1436</v>
      </c>
      <c r="C113" s="589">
        <v>2856899</v>
      </c>
      <c r="D113" s="590">
        <v>1490</v>
      </c>
      <c r="E113" s="589">
        <f>2384625+220512</f>
        <v>2605137</v>
      </c>
      <c r="F113" s="590">
        <v>1515</v>
      </c>
      <c r="G113" s="591">
        <v>3484908</v>
      </c>
      <c r="H113" s="590">
        <f>F113-D113</f>
        <v>25</v>
      </c>
      <c r="I113" s="591">
        <f>G113-E113</f>
        <v>879771</v>
      </c>
    </row>
    <row r="114" spans="1:9" ht="12.75" x14ac:dyDescent="0.2">
      <c r="A114" s="587" t="s">
        <v>185</v>
      </c>
      <c r="B114" s="588"/>
      <c r="C114" s="589"/>
      <c r="D114" s="590"/>
      <c r="E114" s="589"/>
      <c r="F114" s="590"/>
      <c r="G114" s="591"/>
      <c r="H114" s="590"/>
      <c r="I114" s="592"/>
    </row>
    <row r="115" spans="1:9" ht="12.75" x14ac:dyDescent="0.2">
      <c r="A115" s="587" t="s">
        <v>183</v>
      </c>
      <c r="B115" s="588"/>
      <c r="C115" s="589"/>
      <c r="D115" s="590"/>
      <c r="E115" s="589"/>
      <c r="F115" s="590"/>
      <c r="G115" s="591"/>
      <c r="H115" s="590"/>
      <c r="I115" s="592"/>
    </row>
    <row r="116" spans="1:9" ht="12.75" x14ac:dyDescent="0.2">
      <c r="A116" s="587" t="s">
        <v>186</v>
      </c>
      <c r="B116" s="588"/>
      <c r="C116" s="589"/>
      <c r="D116" s="590"/>
      <c r="E116" s="589"/>
      <c r="F116" s="590"/>
      <c r="G116" s="591"/>
      <c r="H116" s="590"/>
      <c r="I116" s="592"/>
    </row>
    <row r="117" spans="1:9" ht="12.75" x14ac:dyDescent="0.2">
      <c r="A117" s="587" t="s">
        <v>30</v>
      </c>
      <c r="B117" s="588">
        <v>366</v>
      </c>
      <c r="C117" s="589">
        <v>4837548</v>
      </c>
      <c r="D117" s="590">
        <v>378</v>
      </c>
      <c r="E117" s="589">
        <v>4837548</v>
      </c>
      <c r="F117" s="590">
        <v>382</v>
      </c>
      <c r="G117" s="591">
        <v>6803890</v>
      </c>
      <c r="H117" s="590">
        <f>F117-D117</f>
        <v>4</v>
      </c>
      <c r="I117" s="591">
        <f>G117-E117</f>
        <v>1966342</v>
      </c>
    </row>
    <row r="118" spans="1:9" ht="12.75" x14ac:dyDescent="0.2">
      <c r="A118" s="587" t="s">
        <v>178</v>
      </c>
      <c r="B118" s="588"/>
      <c r="C118" s="589">
        <v>481012</v>
      </c>
      <c r="D118" s="590"/>
      <c r="E118" s="589"/>
      <c r="F118" s="590"/>
      <c r="G118" s="591"/>
      <c r="H118" s="590"/>
      <c r="I118" s="592"/>
    </row>
    <row r="119" spans="1:9" ht="12.75" x14ac:dyDescent="0.2">
      <c r="A119" s="587" t="s">
        <v>1448</v>
      </c>
      <c r="B119" s="588">
        <v>278</v>
      </c>
      <c r="C119" s="589">
        <v>1836396</v>
      </c>
      <c r="D119" s="590">
        <v>270</v>
      </c>
      <c r="E119" s="589">
        <v>2099245</v>
      </c>
      <c r="F119" s="590">
        <v>285</v>
      </c>
      <c r="G119" s="591">
        <v>2562742</v>
      </c>
      <c r="H119" s="590">
        <f>F119-D119</f>
        <v>15</v>
      </c>
      <c r="I119" s="591">
        <f>G119-E119</f>
        <v>463497</v>
      </c>
    </row>
    <row r="120" spans="1:9" ht="13.5" thickBot="1" x14ac:dyDescent="0.25">
      <c r="A120" s="587" t="s">
        <v>1449</v>
      </c>
      <c r="B120" s="588">
        <v>226</v>
      </c>
      <c r="C120" s="589">
        <v>8026272</v>
      </c>
      <c r="D120" s="590">
        <v>586</v>
      </c>
      <c r="E120" s="589">
        <f>9070353+2448745</f>
        <v>11519098</v>
      </c>
      <c r="F120" s="590">
        <v>593</v>
      </c>
      <c r="G120" s="591">
        <v>11156976</v>
      </c>
      <c r="H120" s="590">
        <f>F120-D120</f>
        <v>7</v>
      </c>
      <c r="I120" s="591">
        <f>G120-E120</f>
        <v>-362122</v>
      </c>
    </row>
    <row r="121" spans="1:9" ht="13.5" thickBot="1" x14ac:dyDescent="0.25">
      <c r="A121" s="594" t="s">
        <v>45</v>
      </c>
      <c r="B121" s="595">
        <v>1436</v>
      </c>
      <c r="C121" s="596">
        <f>SUM(C104:C120)</f>
        <v>62324893</v>
      </c>
      <c r="D121" s="597">
        <v>1490</v>
      </c>
      <c r="E121" s="596">
        <f>SUM(E104:E120)</f>
        <v>68868586</v>
      </c>
      <c r="F121" s="597"/>
      <c r="G121" s="596">
        <f>SUM(G104:G120)</f>
        <v>77373942</v>
      </c>
      <c r="H121" s="597"/>
      <c r="I121" s="598">
        <f>SUM(I104:I120)</f>
        <v>8505356</v>
      </c>
    </row>
    <row r="122" spans="1:9" x14ac:dyDescent="0.2">
      <c r="A122" s="574" t="s">
        <v>350</v>
      </c>
      <c r="B122" s="490"/>
      <c r="C122" s="490"/>
      <c r="D122" s="490"/>
      <c r="E122" s="490"/>
      <c r="F122" s="490"/>
      <c r="G122" s="490"/>
      <c r="H122" s="490"/>
      <c r="I122" s="490"/>
    </row>
    <row r="123" spans="1:9" x14ac:dyDescent="0.2">
      <c r="A123" s="574" t="s">
        <v>100</v>
      </c>
      <c r="B123" s="490"/>
      <c r="C123" s="490"/>
      <c r="D123" s="490"/>
      <c r="E123" s="490"/>
      <c r="F123" s="490"/>
      <c r="G123" s="490"/>
      <c r="H123" s="490"/>
      <c r="I123" s="490"/>
    </row>
    <row r="124" spans="1:9" ht="15.75" x14ac:dyDescent="0.2">
      <c r="A124" s="173" t="s">
        <v>460</v>
      </c>
      <c r="B124" s="562"/>
      <c r="C124" s="562"/>
      <c r="D124" s="562"/>
      <c r="E124" s="562"/>
      <c r="F124" s="562"/>
      <c r="G124" s="562"/>
      <c r="H124" s="562"/>
      <c r="I124" s="562"/>
    </row>
    <row r="125" spans="1:9" ht="12.75" thickBot="1" x14ac:dyDescent="0.25">
      <c r="A125" s="15" t="s">
        <v>2087</v>
      </c>
      <c r="B125" s="11"/>
      <c r="C125" s="162"/>
      <c r="D125" s="162"/>
      <c r="E125" s="11"/>
      <c r="F125" s="162"/>
      <c r="G125" s="162"/>
      <c r="H125" s="162"/>
      <c r="I125" s="162"/>
    </row>
    <row r="126" spans="1:9" ht="12.75" thickBot="1" x14ac:dyDescent="0.25">
      <c r="A126" s="508" t="s">
        <v>10</v>
      </c>
      <c r="B126" s="1478" t="s">
        <v>349</v>
      </c>
      <c r="C126" s="1478"/>
      <c r="D126" s="1479" t="s">
        <v>423</v>
      </c>
      <c r="E126" s="1480"/>
      <c r="F126" s="1479" t="s">
        <v>424</v>
      </c>
      <c r="G126" s="1481"/>
      <c r="H126" s="1479" t="s">
        <v>348</v>
      </c>
      <c r="I126" s="1481"/>
    </row>
    <row r="127" spans="1:9" ht="24" x14ac:dyDescent="0.2">
      <c r="A127" s="505" t="s">
        <v>9</v>
      </c>
      <c r="B127" s="242" t="s">
        <v>152</v>
      </c>
      <c r="C127" s="507" t="s">
        <v>27</v>
      </c>
      <c r="D127" s="505" t="s">
        <v>152</v>
      </c>
      <c r="E127" s="504" t="s">
        <v>27</v>
      </c>
      <c r="F127" s="505" t="s">
        <v>152</v>
      </c>
      <c r="G127" s="504" t="s">
        <v>27</v>
      </c>
      <c r="H127" s="505" t="s">
        <v>152</v>
      </c>
      <c r="I127" s="504" t="s">
        <v>27</v>
      </c>
    </row>
    <row r="128" spans="1:9" x14ac:dyDescent="0.2">
      <c r="A128" s="587" t="s">
        <v>149</v>
      </c>
      <c r="B128" s="770">
        <v>540</v>
      </c>
      <c r="C128" s="771">
        <v>26043344</v>
      </c>
      <c r="D128" s="772">
        <v>586</v>
      </c>
      <c r="E128" s="773">
        <v>27942830</v>
      </c>
      <c r="F128" s="772">
        <v>586</v>
      </c>
      <c r="G128" s="773">
        <v>27942830</v>
      </c>
      <c r="H128" s="772">
        <v>46</v>
      </c>
      <c r="I128" s="773">
        <v>1899486</v>
      </c>
    </row>
    <row r="129" spans="1:9" x14ac:dyDescent="0.2">
      <c r="A129" s="587" t="s">
        <v>181</v>
      </c>
      <c r="B129" s="770"/>
      <c r="C129" s="771"/>
      <c r="D129" s="772"/>
      <c r="E129" s="773"/>
      <c r="F129" s="772"/>
      <c r="G129" s="773"/>
      <c r="H129" s="772"/>
      <c r="I129" s="773"/>
    </row>
    <row r="130" spans="1:9" x14ac:dyDescent="0.2">
      <c r="A130" s="587" t="s">
        <v>179</v>
      </c>
      <c r="B130" s="770"/>
      <c r="C130" s="771"/>
      <c r="D130" s="772"/>
      <c r="E130" s="773"/>
      <c r="F130" s="772"/>
      <c r="G130" s="773"/>
      <c r="H130" s="772"/>
      <c r="I130" s="773"/>
    </row>
    <row r="131" spans="1:9" x14ac:dyDescent="0.2">
      <c r="A131" s="593" t="s">
        <v>188</v>
      </c>
      <c r="B131" s="770"/>
      <c r="C131" s="771"/>
      <c r="D131" s="772"/>
      <c r="E131" s="773"/>
      <c r="F131" s="772"/>
      <c r="G131" s="773"/>
      <c r="H131" s="772"/>
      <c r="I131" s="773"/>
    </row>
    <row r="132" spans="1:9" x14ac:dyDescent="0.2">
      <c r="A132" s="587" t="s">
        <v>182</v>
      </c>
      <c r="B132" s="770"/>
      <c r="C132" s="771"/>
      <c r="D132" s="772"/>
      <c r="E132" s="773"/>
      <c r="F132" s="772"/>
      <c r="G132" s="773"/>
      <c r="H132" s="772"/>
      <c r="I132" s="773"/>
    </row>
    <row r="133" spans="1:9" x14ac:dyDescent="0.2">
      <c r="A133" s="593" t="s">
        <v>180</v>
      </c>
      <c r="B133" s="770">
        <v>540</v>
      </c>
      <c r="C133" s="771">
        <v>546093</v>
      </c>
      <c r="D133" s="772">
        <v>586</v>
      </c>
      <c r="E133" s="773">
        <v>587800</v>
      </c>
      <c r="F133" s="772">
        <v>586</v>
      </c>
      <c r="G133" s="773">
        <v>587800</v>
      </c>
      <c r="H133" s="772">
        <v>46</v>
      </c>
      <c r="I133" s="773">
        <v>41707</v>
      </c>
    </row>
    <row r="134" spans="1:9" x14ac:dyDescent="0.2">
      <c r="A134" s="587" t="s">
        <v>187</v>
      </c>
      <c r="B134" s="770"/>
      <c r="C134" s="771"/>
      <c r="D134" s="772"/>
      <c r="E134" s="773"/>
      <c r="F134" s="772"/>
      <c r="G134" s="773"/>
      <c r="H134" s="772"/>
      <c r="I134" s="773"/>
    </row>
    <row r="135" spans="1:9" x14ac:dyDescent="0.2">
      <c r="A135" s="587" t="s">
        <v>29</v>
      </c>
      <c r="B135" s="770"/>
      <c r="C135" s="771"/>
      <c r="D135" s="772"/>
      <c r="E135" s="773"/>
      <c r="F135" s="772"/>
      <c r="G135" s="773"/>
      <c r="H135" s="772"/>
      <c r="I135" s="773"/>
    </row>
    <row r="136" spans="1:9" x14ac:dyDescent="0.2">
      <c r="A136" s="587" t="s">
        <v>184</v>
      </c>
      <c r="B136" s="770"/>
      <c r="C136" s="771"/>
      <c r="D136" s="772"/>
      <c r="E136" s="773"/>
      <c r="F136" s="772"/>
      <c r="G136" s="773"/>
      <c r="H136" s="772"/>
      <c r="I136" s="773"/>
    </row>
    <row r="137" spans="1:9" x14ac:dyDescent="0.2">
      <c r="A137" s="587" t="s">
        <v>28</v>
      </c>
      <c r="B137" s="770">
        <v>540</v>
      </c>
      <c r="C137" s="771">
        <v>1184061</v>
      </c>
      <c r="D137" s="772">
        <v>586</v>
      </c>
      <c r="E137" s="773">
        <v>1465288</v>
      </c>
      <c r="F137" s="772">
        <v>586</v>
      </c>
      <c r="G137" s="773">
        <v>1465288</v>
      </c>
      <c r="H137" s="772">
        <v>46</v>
      </c>
      <c r="I137" s="773">
        <v>281227</v>
      </c>
    </row>
    <row r="138" spans="1:9" x14ac:dyDescent="0.2">
      <c r="A138" s="587" t="s">
        <v>185</v>
      </c>
      <c r="B138" s="770"/>
      <c r="C138" s="771"/>
      <c r="D138" s="772"/>
      <c r="E138" s="773"/>
      <c r="F138" s="772"/>
      <c r="G138" s="773"/>
      <c r="H138" s="772"/>
      <c r="I138" s="773"/>
    </row>
    <row r="139" spans="1:9" x14ac:dyDescent="0.2">
      <c r="A139" s="587" t="s">
        <v>183</v>
      </c>
      <c r="B139" s="770"/>
      <c r="C139" s="771"/>
      <c r="D139" s="772"/>
      <c r="E139" s="773"/>
      <c r="F139" s="772"/>
      <c r="G139" s="773"/>
      <c r="H139" s="772"/>
      <c r="I139" s="773"/>
    </row>
    <row r="140" spans="1:9" x14ac:dyDescent="0.2">
      <c r="A140" s="587" t="s">
        <v>186</v>
      </c>
      <c r="B140" s="770"/>
      <c r="C140" s="771"/>
      <c r="D140" s="772"/>
      <c r="E140" s="773"/>
      <c r="F140" s="772"/>
      <c r="G140" s="773"/>
      <c r="H140" s="772"/>
      <c r="I140" s="773"/>
    </row>
    <row r="141" spans="1:9" x14ac:dyDescent="0.2">
      <c r="A141" s="587" t="s">
        <v>30</v>
      </c>
      <c r="B141" s="770">
        <v>92</v>
      </c>
      <c r="C141" s="771">
        <v>1482193</v>
      </c>
      <c r="D141" s="772">
        <v>92</v>
      </c>
      <c r="E141" s="773">
        <v>1399485</v>
      </c>
      <c r="F141" s="772">
        <v>92</v>
      </c>
      <c r="G141" s="773">
        <v>1399485</v>
      </c>
      <c r="H141" s="772">
        <v>0</v>
      </c>
      <c r="I141" s="773">
        <v>-82708</v>
      </c>
    </row>
    <row r="142" spans="1:9" x14ac:dyDescent="0.2">
      <c r="A142" s="587" t="s">
        <v>178</v>
      </c>
      <c r="B142" s="770"/>
      <c r="C142" s="771"/>
      <c r="D142" s="772"/>
      <c r="E142" s="773"/>
      <c r="F142" s="772"/>
      <c r="G142" s="773"/>
      <c r="H142" s="772"/>
      <c r="I142" s="773"/>
    </row>
    <row r="143" spans="1:9" ht="12.75" thickBot="1" x14ac:dyDescent="0.25">
      <c r="A143" s="587" t="s">
        <v>46</v>
      </c>
      <c r="B143" s="770"/>
      <c r="C143" s="771"/>
      <c r="D143" s="772"/>
      <c r="E143" s="773"/>
      <c r="F143" s="772"/>
      <c r="G143" s="773"/>
      <c r="H143" s="772"/>
      <c r="I143" s="773"/>
    </row>
    <row r="144" spans="1:9" ht="12.75" thickBot="1" x14ac:dyDescent="0.25">
      <c r="A144" s="41" t="s">
        <v>45</v>
      </c>
      <c r="B144" s="774">
        <f t="shared" ref="B144:I144" si="1">SUM(B128:B143)</f>
        <v>1712</v>
      </c>
      <c r="C144" s="775">
        <f t="shared" si="1"/>
        <v>29255691</v>
      </c>
      <c r="D144" s="776">
        <f t="shared" si="1"/>
        <v>1850</v>
      </c>
      <c r="E144" s="777">
        <f t="shared" si="1"/>
        <v>31395403</v>
      </c>
      <c r="F144" s="776">
        <f t="shared" si="1"/>
        <v>1850</v>
      </c>
      <c r="G144" s="777">
        <f t="shared" si="1"/>
        <v>31395403</v>
      </c>
      <c r="H144" s="776">
        <f t="shared" si="1"/>
        <v>138</v>
      </c>
      <c r="I144" s="777">
        <f t="shared" si="1"/>
        <v>2139712</v>
      </c>
    </row>
    <row r="145" spans="1:9" x14ac:dyDescent="0.2">
      <c r="A145" s="574" t="s">
        <v>350</v>
      </c>
      <c r="B145" s="490"/>
      <c r="C145" s="490"/>
      <c r="D145" s="490"/>
      <c r="E145" s="490"/>
      <c r="F145" s="490"/>
      <c r="G145" s="490"/>
      <c r="H145" s="490"/>
      <c r="I145" s="490"/>
    </row>
    <row r="146" spans="1:9" x14ac:dyDescent="0.2">
      <c r="A146" s="574" t="s">
        <v>100</v>
      </c>
      <c r="B146" s="490"/>
      <c r="C146" s="490"/>
      <c r="D146" s="490"/>
      <c r="E146" s="490"/>
      <c r="F146" s="490"/>
      <c r="G146" s="490"/>
      <c r="H146" s="490"/>
      <c r="I146" s="490"/>
    </row>
    <row r="148" spans="1:9" ht="12.75" x14ac:dyDescent="0.2">
      <c r="A148" s="793" t="s">
        <v>2275</v>
      </c>
      <c r="B148" s="917"/>
      <c r="C148" s="918"/>
      <c r="D148" s="919"/>
      <c r="E148" s="918"/>
      <c r="F148" s="917"/>
      <c r="G148" s="793"/>
      <c r="H148" s="561"/>
      <c r="I148" s="561"/>
    </row>
    <row r="149" spans="1:9" ht="12.75" x14ac:dyDescent="0.2">
      <c r="A149" s="173" t="s">
        <v>460</v>
      </c>
      <c r="B149" s="920"/>
      <c r="C149" s="561"/>
      <c r="D149" s="919"/>
      <c r="E149" s="561"/>
      <c r="F149" s="920"/>
      <c r="G149" s="561"/>
      <c r="H149" s="561"/>
      <c r="I149" s="561"/>
    </row>
    <row r="150" spans="1:9" ht="13.5" thickBot="1" x14ac:dyDescent="0.25">
      <c r="A150" s="793" t="s">
        <v>2274</v>
      </c>
      <c r="B150" s="921"/>
      <c r="C150" s="787"/>
      <c r="D150" s="922"/>
      <c r="E150" s="923"/>
      <c r="F150" s="924"/>
      <c r="G150" s="787"/>
      <c r="H150" s="787"/>
      <c r="I150" s="787"/>
    </row>
    <row r="151" spans="1:9" ht="13.5" thickBot="1" x14ac:dyDescent="0.25">
      <c r="A151" s="925" t="s">
        <v>10</v>
      </c>
      <c r="B151" s="1482" t="s">
        <v>349</v>
      </c>
      <c r="C151" s="1483"/>
      <c r="D151" s="1482" t="s">
        <v>423</v>
      </c>
      <c r="E151" s="1484"/>
      <c r="F151" s="1482" t="s">
        <v>424</v>
      </c>
      <c r="G151" s="1483"/>
      <c r="H151" s="1482" t="s">
        <v>1447</v>
      </c>
      <c r="I151" s="1483"/>
    </row>
    <row r="152" spans="1:9" ht="25.5" x14ac:dyDescent="0.2">
      <c r="A152" s="926" t="s">
        <v>9</v>
      </c>
      <c r="B152" s="926" t="s">
        <v>152</v>
      </c>
      <c r="C152" s="926" t="s">
        <v>27</v>
      </c>
      <c r="D152" s="927" t="s">
        <v>152</v>
      </c>
      <c r="E152" s="926" t="s">
        <v>27</v>
      </c>
      <c r="F152" s="926" t="s">
        <v>152</v>
      </c>
      <c r="G152" s="926" t="s">
        <v>27</v>
      </c>
      <c r="H152" s="926" t="s">
        <v>152</v>
      </c>
      <c r="I152" s="926" t="s">
        <v>27</v>
      </c>
    </row>
    <row r="153" spans="1:9" ht="12.75" x14ac:dyDescent="0.2">
      <c r="A153" s="928" t="s">
        <v>149</v>
      </c>
      <c r="B153" s="929">
        <v>283</v>
      </c>
      <c r="C153" s="930">
        <v>9702309</v>
      </c>
      <c r="D153" s="929">
        <v>307</v>
      </c>
      <c r="E153" s="930">
        <v>10301791</v>
      </c>
      <c r="F153" s="929">
        <v>309</v>
      </c>
      <c r="G153" s="930">
        <v>10368903.640000001</v>
      </c>
      <c r="H153" s="931"/>
      <c r="I153" s="930">
        <f>E153-G153</f>
        <v>-67112.640000000596</v>
      </c>
    </row>
    <row r="154" spans="1:9" ht="12.75" x14ac:dyDescent="0.2">
      <c r="A154" s="928" t="s">
        <v>181</v>
      </c>
      <c r="B154" s="929"/>
      <c r="C154" s="931"/>
      <c r="D154" s="929"/>
      <c r="E154" s="931"/>
      <c r="F154" s="929"/>
      <c r="G154" s="931"/>
      <c r="H154" s="931"/>
      <c r="I154" s="931"/>
    </row>
    <row r="155" spans="1:9" ht="12.75" x14ac:dyDescent="0.2">
      <c r="A155" s="928" t="s">
        <v>179</v>
      </c>
      <c r="B155" s="929"/>
      <c r="C155" s="931"/>
      <c r="D155" s="929"/>
      <c r="E155" s="931"/>
      <c r="F155" s="929"/>
      <c r="G155" s="931"/>
      <c r="H155" s="931"/>
      <c r="I155" s="931"/>
    </row>
    <row r="156" spans="1:9" ht="12.75" x14ac:dyDescent="0.2">
      <c r="A156" s="928" t="s">
        <v>188</v>
      </c>
      <c r="B156" s="929"/>
      <c r="C156" s="931"/>
      <c r="D156" s="929"/>
      <c r="E156" s="931"/>
      <c r="F156" s="929"/>
      <c r="G156" s="931"/>
      <c r="H156" s="931"/>
      <c r="I156" s="931"/>
    </row>
    <row r="157" spans="1:9" ht="12.75" x14ac:dyDescent="0.2">
      <c r="A157" s="928" t="s">
        <v>182</v>
      </c>
      <c r="B157" s="929"/>
      <c r="C157" s="931"/>
      <c r="D157" s="929"/>
      <c r="E157" s="931"/>
      <c r="F157" s="929"/>
      <c r="G157" s="931"/>
      <c r="H157" s="931"/>
      <c r="I157" s="931"/>
    </row>
    <row r="158" spans="1:9" ht="12.75" x14ac:dyDescent="0.2">
      <c r="A158" s="928" t="s">
        <v>180</v>
      </c>
      <c r="B158" s="929">
        <f>C158/1000</f>
        <v>283</v>
      </c>
      <c r="C158" s="930">
        <v>283000</v>
      </c>
      <c r="D158" s="929">
        <v>307</v>
      </c>
      <c r="E158" s="930">
        <v>307000</v>
      </c>
      <c r="F158" s="929">
        <v>309</v>
      </c>
      <c r="G158" s="930">
        <v>309000</v>
      </c>
      <c r="H158" s="931"/>
      <c r="I158" s="930">
        <f>E158-G158</f>
        <v>-2000</v>
      </c>
    </row>
    <row r="159" spans="1:9" ht="12.75" x14ac:dyDescent="0.2">
      <c r="A159" s="928" t="s">
        <v>187</v>
      </c>
      <c r="B159" s="929"/>
      <c r="C159" s="931"/>
      <c r="D159" s="929"/>
      <c r="E159" s="931"/>
      <c r="F159" s="929"/>
      <c r="G159" s="931"/>
      <c r="H159" s="931"/>
      <c r="I159" s="931"/>
    </row>
    <row r="160" spans="1:9" ht="12.75" x14ac:dyDescent="0.2">
      <c r="A160" s="928" t="s">
        <v>29</v>
      </c>
      <c r="B160" s="929"/>
      <c r="C160" s="931"/>
      <c r="D160" s="929"/>
      <c r="E160" s="931"/>
      <c r="F160" s="929"/>
      <c r="G160" s="931"/>
      <c r="H160" s="931"/>
      <c r="I160" s="931"/>
    </row>
    <row r="161" spans="1:9" ht="12.75" x14ac:dyDescent="0.2">
      <c r="A161" s="928" t="s">
        <v>184</v>
      </c>
      <c r="B161" s="929"/>
      <c r="C161" s="931"/>
      <c r="D161" s="929"/>
      <c r="E161" s="931"/>
      <c r="F161" s="929"/>
      <c r="G161" s="931"/>
      <c r="H161" s="931"/>
      <c r="I161" s="931"/>
    </row>
    <row r="162" spans="1:9" ht="12.75" x14ac:dyDescent="0.2">
      <c r="A162" s="928" t="s">
        <v>28</v>
      </c>
      <c r="B162" s="929">
        <v>283</v>
      </c>
      <c r="C162" s="930">
        <v>574990</v>
      </c>
      <c r="D162" s="929">
        <v>307</v>
      </c>
      <c r="E162" s="930">
        <v>595073</v>
      </c>
      <c r="F162" s="929">
        <v>309</v>
      </c>
      <c r="G162" s="930">
        <v>598949.69999999995</v>
      </c>
      <c r="H162" s="931"/>
      <c r="I162" s="930">
        <f>E162-G162</f>
        <v>-3876.6999999999534</v>
      </c>
    </row>
    <row r="163" spans="1:9" ht="12.75" x14ac:dyDescent="0.2">
      <c r="A163" s="928" t="s">
        <v>185</v>
      </c>
      <c r="B163" s="929"/>
      <c r="C163" s="931"/>
      <c r="D163" s="929"/>
      <c r="E163" s="931"/>
      <c r="F163" s="929"/>
      <c r="G163" s="931"/>
      <c r="H163" s="931"/>
      <c r="I163" s="931"/>
    </row>
    <row r="164" spans="1:9" ht="12.75" x14ac:dyDescent="0.2">
      <c r="A164" s="928" t="s">
        <v>183</v>
      </c>
      <c r="B164" s="929"/>
      <c r="C164" s="931"/>
      <c r="D164" s="929"/>
      <c r="E164" s="931"/>
      <c r="F164" s="929"/>
      <c r="G164" s="931"/>
      <c r="H164" s="931"/>
      <c r="I164" s="931"/>
    </row>
    <row r="165" spans="1:9" ht="12.75" x14ac:dyDescent="0.2">
      <c r="A165" s="928" t="s">
        <v>2276</v>
      </c>
      <c r="B165" s="929">
        <v>253</v>
      </c>
      <c r="C165" s="930">
        <v>23991</v>
      </c>
      <c r="D165" s="929">
        <v>253</v>
      </c>
      <c r="E165" s="930">
        <v>25003</v>
      </c>
      <c r="F165" s="929">
        <v>253</v>
      </c>
      <c r="G165" s="930">
        <v>25003</v>
      </c>
      <c r="H165" s="931"/>
      <c r="I165" s="930">
        <f>E165-G165</f>
        <v>0</v>
      </c>
    </row>
    <row r="166" spans="1:9" ht="12.75" x14ac:dyDescent="0.2">
      <c r="A166" s="928" t="s">
        <v>30</v>
      </c>
      <c r="B166" s="929">
        <v>16</v>
      </c>
      <c r="C166" s="930">
        <v>254070</v>
      </c>
      <c r="D166" s="929">
        <v>16</v>
      </c>
      <c r="E166" s="930">
        <v>269136</v>
      </c>
      <c r="F166" s="929">
        <v>16</v>
      </c>
      <c r="G166" s="930">
        <v>269136</v>
      </c>
      <c r="H166" s="931"/>
      <c r="I166" s="930">
        <f>E166-G166</f>
        <v>0</v>
      </c>
    </row>
    <row r="167" spans="1:9" ht="12.75" x14ac:dyDescent="0.2">
      <c r="A167" s="928" t="s">
        <v>178</v>
      </c>
      <c r="B167" s="929"/>
      <c r="C167" s="931"/>
      <c r="D167" s="929"/>
      <c r="E167" s="931"/>
      <c r="F167" s="929"/>
      <c r="G167" s="931"/>
      <c r="H167" s="931"/>
      <c r="I167" s="931"/>
    </row>
    <row r="168" spans="1:9" ht="26.25" thickBot="1" x14ac:dyDescent="0.25">
      <c r="A168" s="932" t="s">
        <v>2277</v>
      </c>
      <c r="B168" s="933">
        <v>66</v>
      </c>
      <c r="C168" s="934">
        <v>1973059</v>
      </c>
      <c r="D168" s="935">
        <v>66</v>
      </c>
      <c r="E168" s="934">
        <v>2554861</v>
      </c>
      <c r="F168" s="935">
        <v>66</v>
      </c>
      <c r="G168" s="934">
        <v>2554861</v>
      </c>
      <c r="H168" s="934"/>
      <c r="I168" s="930">
        <f>E168-G168</f>
        <v>0</v>
      </c>
    </row>
    <row r="169" spans="1:9" ht="13.5" thickBot="1" x14ac:dyDescent="0.25">
      <c r="A169" s="594" t="s">
        <v>45</v>
      </c>
      <c r="B169" s="936"/>
      <c r="C169" s="937">
        <f>SUM(C153:C168)</f>
        <v>12811419</v>
      </c>
      <c r="D169" s="938"/>
      <c r="E169" s="937">
        <f>SUM(E153:E168)</f>
        <v>14052864</v>
      </c>
      <c r="F169" s="938"/>
      <c r="G169" s="937">
        <f>SUM(G153:G168)</f>
        <v>14125853.34</v>
      </c>
      <c r="H169" s="939"/>
      <c r="I169" s="937">
        <f>SUM(I153:I168)</f>
        <v>-72989.340000000549</v>
      </c>
    </row>
    <row r="170" spans="1:9" ht="12.75" x14ac:dyDescent="0.2">
      <c r="A170" s="940" t="s">
        <v>350</v>
      </c>
      <c r="B170" s="920"/>
      <c r="C170" s="561"/>
      <c r="D170" s="941"/>
      <c r="E170" s="561"/>
      <c r="F170" s="920"/>
      <c r="G170" s="561"/>
      <c r="H170" s="561"/>
      <c r="I170" s="561"/>
    </row>
    <row r="171" spans="1:9" ht="12.75" x14ac:dyDescent="0.2">
      <c r="A171" s="940" t="s">
        <v>100</v>
      </c>
      <c r="B171" s="920"/>
      <c r="C171" s="561"/>
      <c r="D171" s="941"/>
      <c r="E171" s="561"/>
      <c r="F171" s="920"/>
      <c r="G171" s="561"/>
      <c r="H171" s="561"/>
      <c r="I171" s="561"/>
    </row>
    <row r="173" spans="1:9" ht="15.75" x14ac:dyDescent="0.25">
      <c r="A173" s="158" t="s">
        <v>2851</v>
      </c>
      <c r="B173" s="1149"/>
      <c r="C173" s="1149"/>
      <c r="D173" s="1149"/>
      <c r="E173" s="1149"/>
      <c r="F173" s="1149"/>
      <c r="G173" s="1150"/>
      <c r="H173" s="562"/>
      <c r="I173" s="562"/>
    </row>
    <row r="174" spans="1:9" ht="15.75" x14ac:dyDescent="0.2">
      <c r="A174" s="490" t="s">
        <v>2282</v>
      </c>
      <c r="B174" s="562"/>
      <c r="C174" s="562"/>
      <c r="D174" s="562"/>
      <c r="E174" s="562"/>
      <c r="F174" s="562"/>
      <c r="G174" s="562"/>
      <c r="H174" s="562"/>
      <c r="I174" s="562"/>
    </row>
    <row r="175" spans="1:9" ht="12.75" thickBot="1" x14ac:dyDescent="0.25">
      <c r="A175" s="490" t="s">
        <v>2831</v>
      </c>
      <c r="B175" s="11"/>
      <c r="C175" s="162"/>
      <c r="D175" s="162"/>
      <c r="E175" s="11"/>
      <c r="F175" s="162"/>
      <c r="G175" s="162"/>
      <c r="H175" s="162"/>
      <c r="I175" s="162"/>
    </row>
    <row r="176" spans="1:9" ht="12.75" thickBot="1" x14ac:dyDescent="0.25">
      <c r="A176" s="508" t="s">
        <v>10</v>
      </c>
      <c r="B176" s="1478" t="s">
        <v>349</v>
      </c>
      <c r="C176" s="1478"/>
      <c r="D176" s="1479" t="s">
        <v>423</v>
      </c>
      <c r="E176" s="1480"/>
      <c r="F176" s="1479" t="s">
        <v>424</v>
      </c>
      <c r="G176" s="1481"/>
      <c r="H176" s="1479" t="s">
        <v>348</v>
      </c>
      <c r="I176" s="1481"/>
    </row>
    <row r="177" spans="1:9" ht="24" x14ac:dyDescent="0.2">
      <c r="A177" s="505" t="s">
        <v>9</v>
      </c>
      <c r="B177" s="242" t="s">
        <v>152</v>
      </c>
      <c r="C177" s="507" t="s">
        <v>27</v>
      </c>
      <c r="D177" s="505" t="s">
        <v>152</v>
      </c>
      <c r="E177" s="504" t="s">
        <v>27</v>
      </c>
      <c r="F177" s="505" t="s">
        <v>152</v>
      </c>
      <c r="G177" s="504" t="s">
        <v>27</v>
      </c>
      <c r="H177" s="505" t="s">
        <v>152</v>
      </c>
      <c r="I177" s="504" t="s">
        <v>27</v>
      </c>
    </row>
    <row r="178" spans="1:9" x14ac:dyDescent="0.2">
      <c r="A178" s="765"/>
      <c r="B178" s="1151"/>
      <c r="C178" s="757"/>
      <c r="D178" s="756"/>
      <c r="E178" s="757"/>
      <c r="F178" s="756"/>
      <c r="G178" s="757"/>
      <c r="H178" s="756"/>
      <c r="I178" s="757"/>
    </row>
    <row r="179" spans="1:9" x14ac:dyDescent="0.2">
      <c r="A179" s="587" t="s">
        <v>149</v>
      </c>
      <c r="B179" s="1151">
        <v>1620</v>
      </c>
      <c r="C179" s="757">
        <v>57465095</v>
      </c>
      <c r="D179" s="1151">
        <v>1698</v>
      </c>
      <c r="E179" s="757">
        <v>59107348</v>
      </c>
      <c r="F179" s="1151">
        <v>1698</v>
      </c>
      <c r="G179" s="757">
        <v>65503064</v>
      </c>
      <c r="H179" s="1151">
        <f>+F179-D179</f>
        <v>0</v>
      </c>
      <c r="I179" s="757">
        <f>+G179-E179</f>
        <v>6395716</v>
      </c>
    </row>
    <row r="180" spans="1:9" x14ac:dyDescent="0.2">
      <c r="A180" s="587" t="s">
        <v>181</v>
      </c>
      <c r="B180" s="1151"/>
      <c r="C180" s="757"/>
      <c r="D180" s="1151"/>
      <c r="E180" s="757"/>
      <c r="F180" s="1151"/>
      <c r="G180" s="757"/>
      <c r="H180" s="1151"/>
      <c r="I180" s="757">
        <f t="shared" ref="I180:I194" si="2">+G180-E180</f>
        <v>0</v>
      </c>
    </row>
    <row r="181" spans="1:9" x14ac:dyDescent="0.2">
      <c r="A181" s="587" t="s">
        <v>179</v>
      </c>
      <c r="B181" s="1151"/>
      <c r="C181" s="757"/>
      <c r="D181" s="1151"/>
      <c r="E181" s="757"/>
      <c r="F181" s="1151"/>
      <c r="G181" s="757"/>
      <c r="H181" s="1151"/>
      <c r="I181" s="757">
        <f t="shared" si="2"/>
        <v>0</v>
      </c>
    </row>
    <row r="182" spans="1:9" x14ac:dyDescent="0.2">
      <c r="A182" s="593" t="s">
        <v>188</v>
      </c>
      <c r="B182" s="1151"/>
      <c r="C182" s="757"/>
      <c r="D182" s="1151"/>
      <c r="E182" s="757"/>
      <c r="F182" s="1151"/>
      <c r="G182" s="757"/>
      <c r="H182" s="1151"/>
      <c r="I182" s="757">
        <f t="shared" si="2"/>
        <v>0</v>
      </c>
    </row>
    <row r="183" spans="1:9" x14ac:dyDescent="0.2">
      <c r="A183" s="587" t="s">
        <v>182</v>
      </c>
      <c r="B183" s="1151"/>
      <c r="C183" s="757"/>
      <c r="D183" s="1151"/>
      <c r="E183" s="757"/>
      <c r="F183" s="1151"/>
      <c r="G183" s="757"/>
      <c r="H183" s="1151"/>
      <c r="I183" s="757">
        <f t="shared" si="2"/>
        <v>0</v>
      </c>
    </row>
    <row r="184" spans="1:9" x14ac:dyDescent="0.2">
      <c r="A184" s="593" t="s">
        <v>180</v>
      </c>
      <c r="B184" s="1152">
        <v>1620</v>
      </c>
      <c r="C184" s="757">
        <v>1620000</v>
      </c>
      <c r="D184" s="1151">
        <v>1698</v>
      </c>
      <c r="E184" s="757">
        <v>1801000</v>
      </c>
      <c r="F184" s="1151">
        <v>1698</v>
      </c>
      <c r="G184" s="757">
        <v>1763219</v>
      </c>
      <c r="H184" s="1151"/>
      <c r="I184" s="757">
        <f t="shared" si="2"/>
        <v>-37781</v>
      </c>
    </row>
    <row r="185" spans="1:9" x14ac:dyDescent="0.2">
      <c r="A185" s="587" t="s">
        <v>187</v>
      </c>
      <c r="B185" s="1151"/>
      <c r="C185" s="757"/>
      <c r="D185" s="1151"/>
      <c r="E185" s="757"/>
      <c r="F185" s="1151"/>
      <c r="G185" s="757"/>
      <c r="H185" s="1151"/>
      <c r="I185" s="757">
        <f t="shared" si="2"/>
        <v>0</v>
      </c>
    </row>
    <row r="186" spans="1:9" x14ac:dyDescent="0.2">
      <c r="A186" s="587" t="s">
        <v>29</v>
      </c>
      <c r="B186" s="1151"/>
      <c r="C186" s="757"/>
      <c r="D186" s="1151"/>
      <c r="E186" s="757"/>
      <c r="F186" s="1151"/>
      <c r="G186" s="757"/>
      <c r="H186" s="1151"/>
      <c r="I186" s="757">
        <f t="shared" si="2"/>
        <v>0</v>
      </c>
    </row>
    <row r="187" spans="1:9" x14ac:dyDescent="0.2">
      <c r="A187" s="587" t="s">
        <v>184</v>
      </c>
      <c r="B187" s="1151"/>
      <c r="C187" s="757"/>
      <c r="D187" s="1151"/>
      <c r="E187" s="757"/>
      <c r="F187" s="1151"/>
      <c r="G187" s="757"/>
      <c r="H187" s="1151"/>
      <c r="I187" s="757">
        <f t="shared" si="2"/>
        <v>0</v>
      </c>
    </row>
    <row r="188" spans="1:9" x14ac:dyDescent="0.2">
      <c r="A188" s="587" t="s">
        <v>28</v>
      </c>
      <c r="B188" s="1152">
        <v>1620</v>
      </c>
      <c r="C188" s="757">
        <v>2996048</v>
      </c>
      <c r="D188" s="1151">
        <v>1698</v>
      </c>
      <c r="E188" s="757">
        <v>3526193</v>
      </c>
      <c r="F188" s="1151">
        <v>1698</v>
      </c>
      <c r="G188" s="757">
        <v>3894193</v>
      </c>
      <c r="H188" s="1151"/>
      <c r="I188" s="757">
        <f t="shared" si="2"/>
        <v>368000</v>
      </c>
    </row>
    <row r="189" spans="1:9" x14ac:dyDescent="0.2">
      <c r="A189" s="587" t="s">
        <v>185</v>
      </c>
      <c r="B189" s="1151"/>
      <c r="C189" s="757"/>
      <c r="D189" s="1151"/>
      <c r="E189" s="757"/>
      <c r="F189" s="1151"/>
      <c r="G189" s="757"/>
      <c r="H189" s="1151"/>
      <c r="I189" s="757">
        <f t="shared" si="2"/>
        <v>0</v>
      </c>
    </row>
    <row r="190" spans="1:9" x14ac:dyDescent="0.2">
      <c r="A190" s="587" t="s">
        <v>183</v>
      </c>
      <c r="B190" s="1151"/>
      <c r="C190" s="757"/>
      <c r="D190" s="1151"/>
      <c r="E190" s="757"/>
      <c r="F190" s="1151"/>
      <c r="G190" s="757"/>
      <c r="H190" s="1151"/>
      <c r="I190" s="757">
        <f t="shared" si="2"/>
        <v>0</v>
      </c>
    </row>
    <row r="191" spans="1:9" x14ac:dyDescent="0.2">
      <c r="A191" s="587" t="s">
        <v>2276</v>
      </c>
      <c r="B191" s="1151"/>
      <c r="C191" s="757">
        <v>211440</v>
      </c>
      <c r="D191" s="1151"/>
      <c r="E191" s="757">
        <v>308792</v>
      </c>
      <c r="F191" s="1151"/>
      <c r="G191" s="757">
        <v>240792</v>
      </c>
      <c r="H191" s="1151"/>
      <c r="I191" s="757">
        <f t="shared" si="2"/>
        <v>-68000</v>
      </c>
    </row>
    <row r="192" spans="1:9" x14ac:dyDescent="0.2">
      <c r="A192" s="587" t="s">
        <v>30</v>
      </c>
      <c r="B192" s="1151">
        <v>228</v>
      </c>
      <c r="C192" s="757">
        <v>4200000</v>
      </c>
      <c r="D192" s="1151">
        <v>275</v>
      </c>
      <c r="E192" s="757">
        <v>4676775</v>
      </c>
      <c r="F192" s="1151">
        <v>275</v>
      </c>
      <c r="G192" s="757">
        <v>4676775</v>
      </c>
      <c r="H192" s="1151">
        <f>+F192-D192</f>
        <v>0</v>
      </c>
      <c r="I192" s="757">
        <f t="shared" si="2"/>
        <v>0</v>
      </c>
    </row>
    <row r="193" spans="1:9" x14ac:dyDescent="0.2">
      <c r="A193" s="587" t="s">
        <v>178</v>
      </c>
      <c r="B193" s="1151"/>
      <c r="C193" s="757"/>
      <c r="D193" s="1151"/>
      <c r="E193" s="757"/>
      <c r="F193" s="1151"/>
      <c r="G193" s="757"/>
      <c r="H193" s="1151"/>
      <c r="I193" s="757">
        <f t="shared" si="2"/>
        <v>0</v>
      </c>
    </row>
    <row r="194" spans="1:9" ht="24" x14ac:dyDescent="0.2">
      <c r="A194" s="1153" t="s">
        <v>2277</v>
      </c>
      <c r="B194" s="1151">
        <v>1696</v>
      </c>
      <c r="C194" s="757">
        <v>13385969</v>
      </c>
      <c r="D194" s="1151">
        <v>1696</v>
      </c>
      <c r="E194" s="757">
        <v>15086815</v>
      </c>
      <c r="F194" s="1151">
        <v>1696</v>
      </c>
      <c r="G194" s="757">
        <v>15231775</v>
      </c>
      <c r="H194" s="1151">
        <f>+F194-D194</f>
        <v>0</v>
      </c>
      <c r="I194" s="757">
        <f t="shared" si="2"/>
        <v>144960</v>
      </c>
    </row>
    <row r="195" spans="1:9" ht="12.75" thickBot="1" x14ac:dyDescent="0.25">
      <c r="A195" s="1153"/>
      <c r="B195" s="1154"/>
      <c r="C195" s="1155"/>
      <c r="D195" s="1154"/>
      <c r="E195" s="1155"/>
      <c r="F195" s="1154"/>
      <c r="G195" s="1155"/>
      <c r="H195" s="1154"/>
      <c r="I195" s="1155"/>
    </row>
    <row r="196" spans="1:9" ht="12.75" thickBot="1" x14ac:dyDescent="0.25">
      <c r="A196" s="41" t="s">
        <v>45</v>
      </c>
      <c r="B196" s="1156"/>
      <c r="C196" s="1157">
        <f t="shared" ref="C196" si="3">SUM(C179:C194)</f>
        <v>79878552</v>
      </c>
      <c r="D196" s="1156"/>
      <c r="E196" s="1157">
        <f t="shared" ref="E196:G196" si="4">SUM(E179:E194)</f>
        <v>84506923</v>
      </c>
      <c r="F196" s="1156"/>
      <c r="G196" s="1157">
        <f t="shared" si="4"/>
        <v>91309818</v>
      </c>
      <c r="H196" s="1156"/>
      <c r="I196" s="1157">
        <f t="shared" ref="I196" si="5">SUM(I179:I194)</f>
        <v>6802895</v>
      </c>
    </row>
    <row r="197" spans="1:9" x14ac:dyDescent="0.2">
      <c r="A197" s="574" t="s">
        <v>350</v>
      </c>
      <c r="B197" s="490"/>
      <c r="C197" s="490"/>
      <c r="D197" s="490"/>
      <c r="E197" s="490"/>
      <c r="F197" s="490"/>
      <c r="G197" s="490"/>
      <c r="H197" s="490"/>
      <c r="I197" s="490"/>
    </row>
    <row r="198" spans="1:9" x14ac:dyDescent="0.2">
      <c r="A198" s="574" t="s">
        <v>100</v>
      </c>
      <c r="B198" s="162"/>
      <c r="C198" s="162"/>
      <c r="D198" s="162"/>
      <c r="E198" s="162"/>
      <c r="F198" s="162"/>
      <c r="G198" s="162"/>
      <c r="H198" s="162"/>
      <c r="I198" s="162"/>
    </row>
    <row r="200" spans="1:9" ht="15.75" x14ac:dyDescent="0.2">
      <c r="A200" s="490" t="s">
        <v>2282</v>
      </c>
      <c r="B200" s="562"/>
      <c r="C200" s="562"/>
      <c r="D200" s="562"/>
      <c r="E200" s="562"/>
      <c r="F200" s="562"/>
      <c r="G200" s="562"/>
      <c r="H200" s="562"/>
      <c r="I200" s="562"/>
    </row>
    <row r="201" spans="1:9" ht="12.75" thickBot="1" x14ac:dyDescent="0.25">
      <c r="A201" s="490" t="s">
        <v>4111</v>
      </c>
      <c r="B201" s="11"/>
      <c r="C201" s="162"/>
      <c r="D201" s="162"/>
      <c r="E201" s="11"/>
      <c r="F201" s="162"/>
      <c r="G201" s="162"/>
      <c r="H201" s="162"/>
      <c r="I201" s="162"/>
    </row>
    <row r="202" spans="1:9" ht="12.75" thickBot="1" x14ac:dyDescent="0.25">
      <c r="A202" s="508" t="s">
        <v>10</v>
      </c>
      <c r="B202" s="1478" t="s">
        <v>349</v>
      </c>
      <c r="C202" s="1478"/>
      <c r="D202" s="1479" t="s">
        <v>423</v>
      </c>
      <c r="E202" s="1480"/>
      <c r="F202" s="1479" t="s">
        <v>424</v>
      </c>
      <c r="G202" s="1481"/>
      <c r="H202" s="1479" t="s">
        <v>348</v>
      </c>
      <c r="I202" s="1481"/>
    </row>
    <row r="203" spans="1:9" ht="24" x14ac:dyDescent="0.2">
      <c r="A203" s="505" t="s">
        <v>9</v>
      </c>
      <c r="B203" s="242" t="s">
        <v>152</v>
      </c>
      <c r="C203" s="507" t="s">
        <v>27</v>
      </c>
      <c r="D203" s="505" t="s">
        <v>152</v>
      </c>
      <c r="E203" s="504" t="s">
        <v>27</v>
      </c>
      <c r="F203" s="505" t="s">
        <v>152</v>
      </c>
      <c r="G203" s="504" t="s">
        <v>27</v>
      </c>
      <c r="H203" s="505" t="s">
        <v>152</v>
      </c>
      <c r="I203" s="504" t="s">
        <v>27</v>
      </c>
    </row>
    <row r="204" spans="1:9" x14ac:dyDescent="0.2">
      <c r="A204" s="587" t="s">
        <v>149</v>
      </c>
      <c r="B204" s="1223">
        <v>38</v>
      </c>
      <c r="C204" s="1224">
        <v>669941</v>
      </c>
      <c r="D204" s="772">
        <v>37</v>
      </c>
      <c r="E204" s="1225">
        <v>604964</v>
      </c>
      <c r="F204" s="772">
        <v>37</v>
      </c>
      <c r="G204" s="1225">
        <v>646979</v>
      </c>
      <c r="H204" s="1226">
        <f>D204-B204</f>
        <v>-1</v>
      </c>
      <c r="I204" s="1227">
        <f>E204-C204</f>
        <v>-64977</v>
      </c>
    </row>
    <row r="205" spans="1:9" x14ac:dyDescent="0.2">
      <c r="A205" s="587" t="s">
        <v>181</v>
      </c>
      <c r="B205" s="770"/>
      <c r="C205" s="1228"/>
      <c r="D205" s="772"/>
      <c r="E205" s="1229"/>
      <c r="F205" s="772"/>
      <c r="G205" s="1229"/>
      <c r="H205" s="772"/>
      <c r="I205" s="1229"/>
    </row>
    <row r="206" spans="1:9" x14ac:dyDescent="0.2">
      <c r="A206" s="587" t="s">
        <v>179</v>
      </c>
      <c r="B206" s="770"/>
      <c r="C206" s="1228"/>
      <c r="D206" s="772"/>
      <c r="E206" s="1229"/>
      <c r="F206" s="772"/>
      <c r="G206" s="1229"/>
      <c r="H206" s="772"/>
      <c r="I206" s="1229"/>
    </row>
    <row r="207" spans="1:9" x14ac:dyDescent="0.2">
      <c r="A207" s="593" t="s">
        <v>188</v>
      </c>
      <c r="B207" s="770"/>
      <c r="C207" s="1228"/>
      <c r="D207" s="772"/>
      <c r="E207" s="1229"/>
      <c r="F207" s="772"/>
      <c r="G207" s="1229"/>
      <c r="H207" s="772"/>
      <c r="I207" s="1229"/>
    </row>
    <row r="208" spans="1:9" x14ac:dyDescent="0.2">
      <c r="A208" s="587" t="s">
        <v>182</v>
      </c>
      <c r="B208" s="770"/>
      <c r="C208" s="1228"/>
      <c r="D208" s="772"/>
      <c r="E208" s="1229"/>
      <c r="F208" s="772"/>
      <c r="G208" s="1229"/>
      <c r="H208" s="772"/>
      <c r="I208" s="1229"/>
    </row>
    <row r="209" spans="1:9" x14ac:dyDescent="0.2">
      <c r="A209" s="593" t="s">
        <v>180</v>
      </c>
      <c r="B209" s="770">
        <v>38</v>
      </c>
      <c r="C209" s="1230">
        <v>38000</v>
      </c>
      <c r="D209" s="772">
        <v>37</v>
      </c>
      <c r="E209" s="1225">
        <v>36200</v>
      </c>
      <c r="F209" s="772">
        <v>37</v>
      </c>
      <c r="G209" s="1225">
        <v>36200</v>
      </c>
      <c r="H209" s="1226">
        <f>D209-B209</f>
        <v>-1</v>
      </c>
      <c r="I209" s="1227">
        <f>E209-C209</f>
        <v>-1800</v>
      </c>
    </row>
    <row r="210" spans="1:9" x14ac:dyDescent="0.2">
      <c r="A210" s="587" t="s">
        <v>187</v>
      </c>
      <c r="B210" s="770"/>
      <c r="C210" s="1228"/>
      <c r="D210" s="772"/>
      <c r="E210" s="1229"/>
      <c r="F210" s="772"/>
      <c r="G210" s="1229"/>
      <c r="H210" s="772"/>
      <c r="I210" s="1229"/>
    </row>
    <row r="211" spans="1:9" x14ac:dyDescent="0.2">
      <c r="A211" s="587" t="s">
        <v>29</v>
      </c>
      <c r="B211" s="770"/>
      <c r="C211" s="1228"/>
      <c r="D211" s="772"/>
      <c r="E211" s="1229"/>
      <c r="F211" s="772"/>
      <c r="G211" s="1225">
        <v>167381</v>
      </c>
      <c r="H211" s="772"/>
      <c r="I211" s="1229"/>
    </row>
    <row r="212" spans="1:9" x14ac:dyDescent="0.2">
      <c r="A212" s="587" t="s">
        <v>184</v>
      </c>
      <c r="B212" s="770"/>
      <c r="C212" s="1228"/>
      <c r="D212" s="772"/>
      <c r="E212" s="1229"/>
      <c r="F212" s="772"/>
      <c r="G212" s="1229"/>
      <c r="H212" s="772"/>
      <c r="I212" s="1229"/>
    </row>
    <row r="213" spans="1:9" x14ac:dyDescent="0.2">
      <c r="A213" s="587" t="s">
        <v>28</v>
      </c>
      <c r="B213" s="770">
        <v>38</v>
      </c>
      <c r="C213" s="1230">
        <v>20974</v>
      </c>
      <c r="D213" s="772">
        <v>37</v>
      </c>
      <c r="E213" s="1225">
        <v>43138</v>
      </c>
      <c r="F213" s="772">
        <v>37</v>
      </c>
      <c r="G213" s="1225">
        <v>51138</v>
      </c>
      <c r="H213" s="1226">
        <f>D213-B213</f>
        <v>-1</v>
      </c>
      <c r="I213" s="1227">
        <f>E213-C213</f>
        <v>22164</v>
      </c>
    </row>
    <row r="214" spans="1:9" x14ac:dyDescent="0.2">
      <c r="A214" s="587" t="s">
        <v>185</v>
      </c>
      <c r="B214" s="770"/>
      <c r="C214" s="1228"/>
      <c r="D214" s="772"/>
      <c r="E214" s="1229"/>
      <c r="F214" s="772"/>
      <c r="G214" s="1229"/>
      <c r="H214" s="772"/>
      <c r="I214" s="1229"/>
    </row>
    <row r="215" spans="1:9" x14ac:dyDescent="0.2">
      <c r="A215" s="587" t="s">
        <v>183</v>
      </c>
      <c r="B215" s="770"/>
      <c r="C215" s="1228"/>
      <c r="D215" s="772"/>
      <c r="E215" s="1229"/>
      <c r="F215" s="772"/>
      <c r="G215" s="1229"/>
      <c r="H215" s="772"/>
      <c r="I215" s="1229"/>
    </row>
    <row r="216" spans="1:9" x14ac:dyDescent="0.2">
      <c r="A216" s="587" t="s">
        <v>4110</v>
      </c>
      <c r="B216" s="770">
        <v>38</v>
      </c>
      <c r="C216" s="1230">
        <v>1366</v>
      </c>
      <c r="D216" s="772">
        <v>37</v>
      </c>
      <c r="E216" s="1225">
        <v>2341</v>
      </c>
      <c r="F216" s="772">
        <v>37</v>
      </c>
      <c r="G216" s="1225">
        <v>2342</v>
      </c>
      <c r="H216" s="1226">
        <f>D216-B216</f>
        <v>-1</v>
      </c>
      <c r="I216" s="1227">
        <f>E216-C216</f>
        <v>975</v>
      </c>
    </row>
    <row r="217" spans="1:9" x14ac:dyDescent="0.2">
      <c r="A217" s="587" t="s">
        <v>30</v>
      </c>
      <c r="B217" s="770">
        <v>27</v>
      </c>
      <c r="C217" s="1230">
        <v>348175</v>
      </c>
      <c r="D217" s="772">
        <v>26</v>
      </c>
      <c r="E217" s="1225">
        <v>415854</v>
      </c>
      <c r="F217" s="772">
        <v>26</v>
      </c>
      <c r="G217" s="1225">
        <v>415854</v>
      </c>
      <c r="H217" s="1226">
        <f>D217-B217</f>
        <v>-1</v>
      </c>
      <c r="I217" s="1227">
        <f>E217-C217</f>
        <v>67679</v>
      </c>
    </row>
    <row r="218" spans="1:9" x14ac:dyDescent="0.2">
      <c r="A218" s="587" t="s">
        <v>178</v>
      </c>
      <c r="B218" s="770"/>
      <c r="C218" s="1228"/>
      <c r="D218" s="772"/>
      <c r="E218" s="1229"/>
      <c r="F218" s="772"/>
      <c r="G218" s="1229"/>
      <c r="H218" s="772"/>
      <c r="I218" s="1229"/>
    </row>
    <row r="219" spans="1:9" ht="12.75" thickBot="1" x14ac:dyDescent="0.25">
      <c r="A219" s="587" t="s">
        <v>46</v>
      </c>
      <c r="B219" s="770"/>
      <c r="C219" s="1228"/>
      <c r="D219" s="772"/>
      <c r="E219" s="1229"/>
      <c r="F219" s="772"/>
      <c r="G219" s="1229"/>
      <c r="H219" s="772"/>
      <c r="I219" s="1229"/>
    </row>
    <row r="220" spans="1:9" ht="12.75" thickBot="1" x14ac:dyDescent="0.25">
      <c r="A220" s="41" t="s">
        <v>45</v>
      </c>
      <c r="B220" s="44"/>
      <c r="C220" s="502">
        <f>SUM(C204:C219)</f>
        <v>1078456</v>
      </c>
      <c r="D220" s="42"/>
      <c r="E220" s="502">
        <f>SUM(E204:E219)</f>
        <v>1102497</v>
      </c>
      <c r="F220" s="42"/>
      <c r="G220" s="502">
        <f>SUM(G204:G219)</f>
        <v>1319894</v>
      </c>
      <c r="H220" s="42"/>
      <c r="I220" s="502">
        <f>G220-E220</f>
        <v>217397</v>
      </c>
    </row>
    <row r="221" spans="1:9" x14ac:dyDescent="0.2">
      <c r="A221" s="574" t="s">
        <v>350</v>
      </c>
      <c r="B221" s="490"/>
      <c r="C221" s="490"/>
      <c r="D221" s="490"/>
      <c r="E221" s="490"/>
      <c r="F221" s="490"/>
      <c r="G221" s="490"/>
      <c r="H221" s="490"/>
      <c r="I221" s="490"/>
    </row>
    <row r="222" spans="1:9" x14ac:dyDescent="0.2">
      <c r="A222" s="574" t="s">
        <v>100</v>
      </c>
      <c r="B222" s="490"/>
      <c r="C222" s="490"/>
      <c r="D222" s="490"/>
      <c r="E222" s="490"/>
      <c r="F222" s="490"/>
      <c r="G222" s="490"/>
      <c r="H222" s="490"/>
      <c r="I222" s="490"/>
    </row>
  </sheetData>
  <sortState xmlns:xlrd2="http://schemas.microsoft.com/office/spreadsheetml/2017/richdata2" ref="A9:A24">
    <sortCondition ref="A9:A24"/>
  </sortState>
  <mergeCells count="36">
    <mergeCell ref="B202:C202"/>
    <mergeCell ref="D202:E202"/>
    <mergeCell ref="F202:G202"/>
    <mergeCell ref="H202:I202"/>
    <mergeCell ref="B55:C55"/>
    <mergeCell ref="D55:E55"/>
    <mergeCell ref="F55:G55"/>
    <mergeCell ref="H55:I55"/>
    <mergeCell ref="B151:C151"/>
    <mergeCell ref="D151:E151"/>
    <mergeCell ref="F151:G151"/>
    <mergeCell ref="H151:I151"/>
    <mergeCell ref="B176:C176"/>
    <mergeCell ref="D176:E176"/>
    <mergeCell ref="F176:G176"/>
    <mergeCell ref="H176:I176"/>
    <mergeCell ref="B102:C102"/>
    <mergeCell ref="D102:E102"/>
    <mergeCell ref="F102:G102"/>
    <mergeCell ref="H102:I102"/>
    <mergeCell ref="B126:C126"/>
    <mergeCell ref="D126:E126"/>
    <mergeCell ref="F126:G126"/>
    <mergeCell ref="H126:I126"/>
    <mergeCell ref="B78:C78"/>
    <mergeCell ref="D78:E78"/>
    <mergeCell ref="F78:G78"/>
    <mergeCell ref="H78:I78"/>
    <mergeCell ref="B4:C4"/>
    <mergeCell ref="F4:G4"/>
    <mergeCell ref="H4:I4"/>
    <mergeCell ref="D4:E4"/>
    <mergeCell ref="B29:C29"/>
    <mergeCell ref="D29:E29"/>
    <mergeCell ref="F29:G29"/>
    <mergeCell ref="H29:I29"/>
  </mergeCells>
  <phoneticPr fontId="0" type="noConversion"/>
  <printOptions horizontalCentered="1"/>
  <pageMargins left="0.25" right="0.25" top="0.75" bottom="0.75" header="0.3" footer="0.3"/>
  <pageSetup paperSize="9" scale="17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3">
    <tabColor rgb="FF0070C0"/>
    <pageSetUpPr fitToPage="1"/>
  </sheetPr>
  <dimension ref="A1:AI744"/>
  <sheetViews>
    <sheetView view="pageLayout" topLeftCell="A254" zoomScale="85" zoomScaleNormal="100" zoomScaleSheetLayoutView="80" zoomScalePageLayoutView="85" workbookViewId="0">
      <selection activeCell="A94" sqref="A94:W128"/>
    </sheetView>
  </sheetViews>
  <sheetFormatPr baseColWidth="10" defaultColWidth="11.42578125" defaultRowHeight="12" x14ac:dyDescent="0.2"/>
  <cols>
    <col min="1" max="1" width="43.7109375" style="3" customWidth="1"/>
    <col min="2" max="2" width="8.7109375" style="3" customWidth="1"/>
    <col min="3" max="3" width="8.7109375" style="100" customWidth="1"/>
    <col min="4" max="5" width="8.7109375" style="3" customWidth="1"/>
    <col min="6" max="9" width="8.7109375" style="127" customWidth="1"/>
    <col min="10" max="11" width="8.7109375" style="3" customWidth="1"/>
    <col min="12" max="12" width="8.7109375" style="100" customWidth="1"/>
    <col min="13" max="15" width="8.7109375" style="3" customWidth="1"/>
    <col min="16" max="16" width="8.7109375" style="100" customWidth="1"/>
    <col min="17" max="20" width="8.7109375" style="3" customWidth="1"/>
    <col min="21" max="24" width="8.7109375" style="127" customWidth="1"/>
    <col min="25" max="26" width="8.7109375" style="3" customWidth="1"/>
    <col min="27" max="27" width="8.7109375" style="100" customWidth="1"/>
    <col min="28" max="30" width="8.7109375" style="3" customWidth="1"/>
    <col min="31" max="31" width="8.7109375" style="100" customWidth="1"/>
    <col min="32" max="33" width="8.7109375" style="162" customWidth="1"/>
    <col min="34" max="35" width="8.7109375" style="100" customWidth="1"/>
    <col min="36" max="16384" width="11.42578125" style="3"/>
  </cols>
  <sheetData>
    <row r="1" spans="1:35" s="151" customFormat="1" x14ac:dyDescent="0.2">
      <c r="A1" s="148" t="s">
        <v>439</v>
      </c>
    </row>
    <row r="2" spans="1:35" s="151" customFormat="1" x14ac:dyDescent="0.2">
      <c r="A2" s="173" t="s">
        <v>460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</row>
    <row r="3" spans="1:35" s="148" customFormat="1" ht="13.5" thickBot="1" x14ac:dyDescent="0.25">
      <c r="A3" s="355" t="s">
        <v>476</v>
      </c>
      <c r="T3" s="150"/>
    </row>
    <row r="4" spans="1:35" ht="30.75" customHeight="1" thickBot="1" x14ac:dyDescent="0.25">
      <c r="A4" s="1467" t="s">
        <v>50</v>
      </c>
      <c r="B4" s="1489" t="s">
        <v>351</v>
      </c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90" t="s">
        <v>440</v>
      </c>
      <c r="R4" s="1489"/>
      <c r="S4" s="1489"/>
      <c r="T4" s="1489"/>
      <c r="U4" s="1489"/>
      <c r="V4" s="1489"/>
      <c r="W4" s="1489"/>
      <c r="X4" s="1489"/>
      <c r="Y4" s="1489"/>
      <c r="Z4" s="1489"/>
      <c r="AA4" s="1489"/>
      <c r="AB4" s="1489"/>
      <c r="AC4" s="1489"/>
      <c r="AD4" s="1489"/>
      <c r="AE4" s="1491"/>
      <c r="AF4" s="1485" t="s">
        <v>442</v>
      </c>
      <c r="AG4" s="1486"/>
      <c r="AH4" s="1485" t="s">
        <v>441</v>
      </c>
      <c r="AI4" s="1486"/>
    </row>
    <row r="5" spans="1:35" ht="172.5" customHeight="1" x14ac:dyDescent="0.2">
      <c r="A5" s="1487"/>
      <c r="B5" s="245" t="s">
        <v>11</v>
      </c>
      <c r="C5" s="246" t="s">
        <v>153</v>
      </c>
      <c r="D5" s="247" t="s">
        <v>279</v>
      </c>
      <c r="E5" s="247" t="s">
        <v>155</v>
      </c>
      <c r="F5" s="247" t="s">
        <v>190</v>
      </c>
      <c r="G5" s="247" t="s">
        <v>191</v>
      </c>
      <c r="H5" s="247" t="s">
        <v>192</v>
      </c>
      <c r="I5" s="247" t="s">
        <v>193</v>
      </c>
      <c r="J5" s="247" t="s">
        <v>156</v>
      </c>
      <c r="K5" s="247" t="s">
        <v>157</v>
      </c>
      <c r="L5" s="247" t="s">
        <v>158</v>
      </c>
      <c r="M5" s="247" t="s">
        <v>189</v>
      </c>
      <c r="N5" s="248" t="s">
        <v>125</v>
      </c>
      <c r="O5" s="249" t="s">
        <v>163</v>
      </c>
      <c r="P5" s="250" t="s">
        <v>162</v>
      </c>
      <c r="Q5" s="245" t="s">
        <v>11</v>
      </c>
      <c r="R5" s="246" t="s">
        <v>153</v>
      </c>
      <c r="S5" s="247" t="s">
        <v>154</v>
      </c>
      <c r="T5" s="247" t="s">
        <v>155</v>
      </c>
      <c r="U5" s="247" t="s">
        <v>190</v>
      </c>
      <c r="V5" s="247" t="s">
        <v>191</v>
      </c>
      <c r="W5" s="247" t="s">
        <v>192</v>
      </c>
      <c r="X5" s="247" t="s">
        <v>193</v>
      </c>
      <c r="Y5" s="247" t="s">
        <v>156</v>
      </c>
      <c r="Z5" s="247" t="s">
        <v>157</v>
      </c>
      <c r="AA5" s="247" t="s">
        <v>158</v>
      </c>
      <c r="AB5" s="247" t="s">
        <v>189</v>
      </c>
      <c r="AC5" s="248" t="s">
        <v>125</v>
      </c>
      <c r="AD5" s="249" t="s">
        <v>163</v>
      </c>
      <c r="AE5" s="250" t="s">
        <v>352</v>
      </c>
      <c r="AF5" s="251" t="s">
        <v>167</v>
      </c>
      <c r="AG5" s="251" t="s">
        <v>166</v>
      </c>
      <c r="AH5" s="251" t="s">
        <v>11</v>
      </c>
      <c r="AI5" s="250" t="s">
        <v>353</v>
      </c>
    </row>
    <row r="6" spans="1:35" ht="15.75" customHeight="1" thickBot="1" x14ac:dyDescent="0.25">
      <c r="A6" s="1488"/>
      <c r="B6" s="252" t="s">
        <v>51</v>
      </c>
      <c r="C6" s="253" t="s">
        <v>52</v>
      </c>
      <c r="D6" s="254" t="s">
        <v>53</v>
      </c>
      <c r="E6" s="254" t="s">
        <v>54</v>
      </c>
      <c r="F6" s="255" t="s">
        <v>55</v>
      </c>
      <c r="G6" s="255" t="s">
        <v>56</v>
      </c>
      <c r="H6" s="255" t="s">
        <v>86</v>
      </c>
      <c r="I6" s="255" t="s">
        <v>124</v>
      </c>
      <c r="J6" s="255" t="s">
        <v>161</v>
      </c>
      <c r="K6" s="255" t="s">
        <v>165</v>
      </c>
      <c r="L6" s="255" t="s">
        <v>198</v>
      </c>
      <c r="M6" s="255" t="s">
        <v>199</v>
      </c>
      <c r="N6" s="256" t="s">
        <v>201</v>
      </c>
      <c r="O6" s="257" t="s">
        <v>202</v>
      </c>
      <c r="P6" s="258" t="s">
        <v>203</v>
      </c>
      <c r="Q6" s="252" t="s">
        <v>51</v>
      </c>
      <c r="R6" s="253" t="s">
        <v>52</v>
      </c>
      <c r="S6" s="254" t="s">
        <v>53</v>
      </c>
      <c r="T6" s="254" t="s">
        <v>54</v>
      </c>
      <c r="U6" s="255" t="s">
        <v>55</v>
      </c>
      <c r="V6" s="255" t="s">
        <v>56</v>
      </c>
      <c r="W6" s="255" t="s">
        <v>86</v>
      </c>
      <c r="X6" s="255" t="s">
        <v>124</v>
      </c>
      <c r="Y6" s="255" t="s">
        <v>161</v>
      </c>
      <c r="Z6" s="255" t="s">
        <v>165</v>
      </c>
      <c r="AA6" s="255" t="s">
        <v>198</v>
      </c>
      <c r="AB6" s="255" t="s">
        <v>199</v>
      </c>
      <c r="AC6" s="256" t="s">
        <v>201</v>
      </c>
      <c r="AD6" s="257" t="s">
        <v>202</v>
      </c>
      <c r="AE6" s="258" t="s">
        <v>203</v>
      </c>
      <c r="AF6" s="259"/>
      <c r="AG6" s="252"/>
      <c r="AH6" s="259"/>
      <c r="AI6" s="252"/>
    </row>
    <row r="7" spans="1:35" x14ac:dyDescent="0.2">
      <c r="A7" s="55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9"/>
      <c r="O7" s="62"/>
      <c r="P7" s="17"/>
      <c r="Q7" s="1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9"/>
      <c r="AD7" s="62"/>
      <c r="AE7" s="17"/>
      <c r="AF7" s="17"/>
      <c r="AG7" s="16"/>
      <c r="AH7" s="17"/>
      <c r="AI7" s="16"/>
    </row>
    <row r="8" spans="1:35" x14ac:dyDescent="0.2">
      <c r="A8" s="16" t="s">
        <v>57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9"/>
      <c r="O8" s="62"/>
      <c r="P8" s="17"/>
      <c r="Q8" s="1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9"/>
      <c r="AD8" s="62"/>
      <c r="AE8" s="17"/>
      <c r="AF8" s="17"/>
      <c r="AG8" s="16"/>
      <c r="AH8" s="17"/>
      <c r="AI8" s="16"/>
    </row>
    <row r="9" spans="1:35" x14ac:dyDescent="0.2">
      <c r="A9" s="16" t="s">
        <v>58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9"/>
      <c r="O9" s="62"/>
      <c r="P9" s="17"/>
      <c r="Q9" s="1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9"/>
      <c r="AD9" s="62"/>
      <c r="AE9" s="17"/>
      <c r="AF9" s="17"/>
      <c r="AG9" s="16"/>
      <c r="AH9" s="17"/>
      <c r="AI9" s="16"/>
    </row>
    <row r="10" spans="1:35" x14ac:dyDescent="0.2">
      <c r="A10" s="16" t="s">
        <v>58</v>
      </c>
      <c r="B10" s="75"/>
      <c r="C10" s="76"/>
      <c r="D10" s="76"/>
      <c r="E10" s="76"/>
      <c r="F10" s="76"/>
      <c r="G10" s="76"/>
      <c r="H10" s="76"/>
      <c r="I10" s="76"/>
      <c r="J10" s="76"/>
      <c r="K10" s="12"/>
      <c r="L10" s="12"/>
      <c r="M10" s="12"/>
      <c r="N10" s="9"/>
      <c r="O10" s="62"/>
      <c r="P10" s="17"/>
      <c r="Q10" s="1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9"/>
      <c r="AD10" s="62"/>
      <c r="AE10" s="17"/>
      <c r="AF10" s="17"/>
      <c r="AG10" s="16"/>
      <c r="AH10" s="17"/>
      <c r="AI10" s="16"/>
    </row>
    <row r="11" spans="1:35" x14ac:dyDescent="0.2">
      <c r="A11" s="16" t="s">
        <v>59</v>
      </c>
      <c r="B11" s="1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9"/>
      <c r="O11" s="62"/>
      <c r="P11" s="17"/>
      <c r="Q11" s="1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9"/>
      <c r="AD11" s="62"/>
      <c r="AE11" s="17"/>
      <c r="AF11" s="17"/>
      <c r="AG11" s="16"/>
      <c r="AH11" s="17"/>
      <c r="AI11" s="16"/>
    </row>
    <row r="12" spans="1:35" x14ac:dyDescent="0.2">
      <c r="A12" s="16" t="s">
        <v>58</v>
      </c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9"/>
      <c r="O12" s="62"/>
      <c r="P12" s="17"/>
      <c r="Q12" s="1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"/>
      <c r="AD12" s="62"/>
      <c r="AE12" s="17"/>
      <c r="AF12" s="17"/>
      <c r="AG12" s="16"/>
      <c r="AH12" s="17"/>
      <c r="AI12" s="16"/>
    </row>
    <row r="13" spans="1:35" x14ac:dyDescent="0.2">
      <c r="A13" s="16" t="s">
        <v>58</v>
      </c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9"/>
      <c r="O13" s="62"/>
      <c r="P13" s="17"/>
      <c r="Q13" s="1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9"/>
      <c r="AD13" s="62"/>
      <c r="AE13" s="17"/>
      <c r="AF13" s="17"/>
      <c r="AG13" s="16"/>
      <c r="AH13" s="17"/>
      <c r="AI13" s="16"/>
    </row>
    <row r="14" spans="1:35" x14ac:dyDescent="0.2">
      <c r="A14" s="16" t="s">
        <v>60</v>
      </c>
      <c r="B14" s="1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"/>
      <c r="O14" s="62"/>
      <c r="P14" s="17"/>
      <c r="Q14" s="1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9"/>
      <c r="AD14" s="62"/>
      <c r="AE14" s="17"/>
      <c r="AF14" s="17"/>
      <c r="AG14" s="16"/>
      <c r="AH14" s="17"/>
      <c r="AI14" s="16"/>
    </row>
    <row r="15" spans="1:35" x14ac:dyDescent="0.2">
      <c r="A15" s="16" t="s">
        <v>58</v>
      </c>
      <c r="B15" s="1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62"/>
      <c r="P15" s="17"/>
      <c r="Q15" s="1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9"/>
      <c r="AD15" s="62"/>
      <c r="AE15" s="17"/>
      <c r="AF15" s="17"/>
      <c r="AG15" s="16"/>
      <c r="AH15" s="17"/>
      <c r="AI15" s="16"/>
    </row>
    <row r="16" spans="1:35" x14ac:dyDescent="0.2">
      <c r="A16" s="16" t="s">
        <v>58</v>
      </c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9"/>
      <c r="O16" s="62"/>
      <c r="P16" s="17"/>
      <c r="Q16" s="16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9"/>
      <c r="AD16" s="62"/>
      <c r="AE16" s="17"/>
      <c r="AF16" s="17"/>
      <c r="AG16" s="16"/>
      <c r="AH16" s="17"/>
      <c r="AI16" s="16"/>
    </row>
    <row r="17" spans="1:35" x14ac:dyDescent="0.2">
      <c r="A17" s="16" t="s">
        <v>61</v>
      </c>
      <c r="B17" s="1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62"/>
      <c r="P17" s="17"/>
      <c r="Q17" s="1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9"/>
      <c r="AD17" s="62"/>
      <c r="AE17" s="17"/>
      <c r="AF17" s="17"/>
      <c r="AG17" s="16"/>
      <c r="AH17" s="17"/>
      <c r="AI17" s="16"/>
    </row>
    <row r="18" spans="1:35" x14ac:dyDescent="0.2">
      <c r="A18" s="16" t="s">
        <v>58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9"/>
      <c r="O18" s="62"/>
      <c r="P18" s="17"/>
      <c r="Q18" s="1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9"/>
      <c r="AD18" s="62"/>
      <c r="AE18" s="17"/>
      <c r="AF18" s="17"/>
      <c r="AG18" s="16"/>
      <c r="AH18" s="17"/>
      <c r="AI18" s="16"/>
    </row>
    <row r="19" spans="1:35" x14ac:dyDescent="0.2">
      <c r="A19" s="16" t="s">
        <v>58</v>
      </c>
      <c r="B19" s="1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62"/>
      <c r="P19" s="17"/>
      <c r="Q19" s="1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9"/>
      <c r="AD19" s="62"/>
      <c r="AE19" s="17"/>
      <c r="AF19" s="17"/>
      <c r="AG19" s="16"/>
      <c r="AH19" s="17"/>
      <c r="AI19" s="16"/>
    </row>
    <row r="20" spans="1:35" x14ac:dyDescent="0.2">
      <c r="A20" s="16" t="s">
        <v>62</v>
      </c>
      <c r="B20" s="1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  <c r="O20" s="62"/>
      <c r="P20" s="17"/>
      <c r="Q20" s="1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9"/>
      <c r="AD20" s="62"/>
      <c r="AE20" s="17"/>
      <c r="AF20" s="17"/>
      <c r="AG20" s="16"/>
      <c r="AH20" s="17"/>
      <c r="AI20" s="16"/>
    </row>
    <row r="21" spans="1:35" x14ac:dyDescent="0.2">
      <c r="A21" s="16" t="s">
        <v>58</v>
      </c>
      <c r="B21" s="1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62"/>
      <c r="P21" s="17"/>
      <c r="Q21" s="1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9"/>
      <c r="AD21" s="62"/>
      <c r="AE21" s="17"/>
      <c r="AF21" s="17"/>
      <c r="AG21" s="16"/>
      <c r="AH21" s="17"/>
      <c r="AI21" s="16"/>
    </row>
    <row r="22" spans="1:35" x14ac:dyDescent="0.2">
      <c r="A22" s="16" t="s">
        <v>58</v>
      </c>
      <c r="B22" s="1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9"/>
      <c r="O22" s="62"/>
      <c r="P22" s="17"/>
      <c r="Q22" s="1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9"/>
      <c r="AD22" s="62"/>
      <c r="AE22" s="17"/>
      <c r="AF22" s="17"/>
      <c r="AG22" s="16"/>
      <c r="AH22" s="17"/>
      <c r="AI22" s="16"/>
    </row>
    <row r="23" spans="1:35" x14ac:dyDescent="0.2">
      <c r="A23" s="16" t="s">
        <v>63</v>
      </c>
      <c r="B23" s="16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/>
      <c r="O23" s="62"/>
      <c r="P23" s="17"/>
      <c r="Q23" s="1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9"/>
      <c r="AD23" s="62"/>
      <c r="AE23" s="17"/>
      <c r="AF23" s="17"/>
      <c r="AG23" s="16"/>
      <c r="AH23" s="17"/>
      <c r="AI23" s="16"/>
    </row>
    <row r="24" spans="1:35" x14ac:dyDescent="0.2">
      <c r="A24" s="16" t="s">
        <v>58</v>
      </c>
      <c r="B24" s="16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  <c r="O24" s="62"/>
      <c r="P24" s="17"/>
      <c r="Q24" s="16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9"/>
      <c r="AD24" s="62"/>
      <c r="AE24" s="17"/>
      <c r="AF24" s="17"/>
      <c r="AG24" s="16"/>
      <c r="AH24" s="17"/>
      <c r="AI24" s="16"/>
    </row>
    <row r="25" spans="1:35" x14ac:dyDescent="0.2">
      <c r="A25" s="16" t="s">
        <v>58</v>
      </c>
      <c r="B25" s="1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9"/>
      <c r="O25" s="62"/>
      <c r="P25" s="17"/>
      <c r="Q25" s="16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9"/>
      <c r="AD25" s="62"/>
      <c r="AE25" s="17"/>
      <c r="AF25" s="17"/>
      <c r="AG25" s="16"/>
      <c r="AH25" s="17"/>
      <c r="AI25" s="16"/>
    </row>
    <row r="26" spans="1:35" x14ac:dyDescent="0.2">
      <c r="A26" s="16" t="s">
        <v>64</v>
      </c>
      <c r="B26" s="16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9"/>
      <c r="O26" s="62"/>
      <c r="P26" s="17"/>
      <c r="Q26" s="16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9"/>
      <c r="AD26" s="62"/>
      <c r="AE26" s="17"/>
      <c r="AF26" s="17"/>
      <c r="AG26" s="16"/>
      <c r="AH26" s="17"/>
      <c r="AI26" s="16"/>
    </row>
    <row r="27" spans="1:35" x14ac:dyDescent="0.2">
      <c r="A27" s="16" t="s">
        <v>58</v>
      </c>
      <c r="B27" s="1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/>
      <c r="O27" s="62"/>
      <c r="P27" s="17"/>
      <c r="Q27" s="1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9"/>
      <c r="AD27" s="62"/>
      <c r="AE27" s="17"/>
      <c r="AF27" s="17"/>
      <c r="AG27" s="16"/>
      <c r="AH27" s="17"/>
      <c r="AI27" s="16"/>
    </row>
    <row r="28" spans="1:35" x14ac:dyDescent="0.2">
      <c r="A28" s="16" t="s">
        <v>58</v>
      </c>
      <c r="B28" s="1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9"/>
      <c r="O28" s="62"/>
      <c r="P28" s="17"/>
      <c r="Q28" s="16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9"/>
      <c r="AD28" s="62"/>
      <c r="AE28" s="17"/>
      <c r="AF28" s="17"/>
      <c r="AG28" s="16"/>
      <c r="AH28" s="17"/>
      <c r="AI28" s="16"/>
    </row>
    <row r="29" spans="1:35" x14ac:dyDescent="0.2">
      <c r="A29" s="16" t="s">
        <v>65</v>
      </c>
      <c r="B29" s="1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9"/>
      <c r="O29" s="62"/>
      <c r="P29" s="17"/>
      <c r="Q29" s="16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9"/>
      <c r="AD29" s="62"/>
      <c r="AE29" s="17"/>
      <c r="AF29" s="17"/>
      <c r="AG29" s="16"/>
      <c r="AH29" s="17"/>
      <c r="AI29" s="16"/>
    </row>
    <row r="30" spans="1:35" x14ac:dyDescent="0.2">
      <c r="A30" s="16" t="s">
        <v>58</v>
      </c>
      <c r="B30" s="1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9"/>
      <c r="O30" s="62"/>
      <c r="P30" s="17"/>
      <c r="Q30" s="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9"/>
      <c r="AD30" s="62"/>
      <c r="AE30" s="17"/>
      <c r="AF30" s="17"/>
      <c r="AG30" s="16"/>
      <c r="AH30" s="17"/>
      <c r="AI30" s="16"/>
    </row>
    <row r="31" spans="1:35" x14ac:dyDescent="0.2">
      <c r="A31" s="16" t="s">
        <v>58</v>
      </c>
      <c r="B31" s="16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9"/>
      <c r="O31" s="62"/>
      <c r="P31" s="17"/>
      <c r="Q31" s="16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9"/>
      <c r="AD31" s="62"/>
      <c r="AE31" s="17"/>
      <c r="AF31" s="17"/>
      <c r="AG31" s="16"/>
      <c r="AH31" s="17"/>
      <c r="AI31" s="16"/>
    </row>
    <row r="32" spans="1:35" x14ac:dyDescent="0.2">
      <c r="A32" s="16" t="s">
        <v>66</v>
      </c>
      <c r="B32" s="1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  <c r="O32" s="62"/>
      <c r="P32" s="17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9"/>
      <c r="AD32" s="62"/>
      <c r="AE32" s="17"/>
      <c r="AF32" s="17"/>
      <c r="AG32" s="16"/>
      <c r="AH32" s="17"/>
      <c r="AI32" s="16"/>
    </row>
    <row r="33" spans="1:35" x14ac:dyDescent="0.2">
      <c r="A33" s="16" t="s">
        <v>58</v>
      </c>
      <c r="B33" s="1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62"/>
      <c r="P33" s="17"/>
      <c r="Q33" s="16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9"/>
      <c r="AD33" s="62"/>
      <c r="AE33" s="17"/>
      <c r="AF33" s="17"/>
      <c r="AG33" s="16"/>
      <c r="AH33" s="17"/>
      <c r="AI33" s="16"/>
    </row>
    <row r="34" spans="1:35" x14ac:dyDescent="0.2">
      <c r="A34" s="16" t="s">
        <v>58</v>
      </c>
      <c r="B34" s="16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  <c r="O34" s="62"/>
      <c r="P34" s="17"/>
      <c r="Q34" s="16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9"/>
      <c r="AD34" s="62"/>
      <c r="AE34" s="17"/>
      <c r="AF34" s="17"/>
      <c r="AG34" s="16"/>
      <c r="AH34" s="17"/>
      <c r="AI34" s="16"/>
    </row>
    <row r="35" spans="1:35" x14ac:dyDescent="0.2">
      <c r="A35" s="16" t="s">
        <v>67</v>
      </c>
      <c r="B35" s="1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  <c r="O35" s="62"/>
      <c r="P35" s="17"/>
      <c r="Q35" s="1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9"/>
      <c r="AD35" s="62"/>
      <c r="AE35" s="17"/>
      <c r="AF35" s="17"/>
      <c r="AG35" s="16"/>
      <c r="AH35" s="17"/>
      <c r="AI35" s="16"/>
    </row>
    <row r="36" spans="1:35" x14ac:dyDescent="0.2">
      <c r="A36" s="16" t="s">
        <v>58</v>
      </c>
      <c r="B36" s="16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  <c r="O36" s="62"/>
      <c r="P36" s="17"/>
      <c r="Q36" s="16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9"/>
      <c r="AD36" s="62"/>
      <c r="AE36" s="17"/>
      <c r="AF36" s="17"/>
      <c r="AG36" s="16"/>
      <c r="AH36" s="17"/>
      <c r="AI36" s="16"/>
    </row>
    <row r="37" spans="1:35" x14ac:dyDescent="0.2">
      <c r="A37" s="16" t="s">
        <v>58</v>
      </c>
      <c r="B37" s="1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  <c r="O37" s="62"/>
      <c r="P37" s="17"/>
      <c r="Q37" s="16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9"/>
      <c r="AD37" s="62"/>
      <c r="AE37" s="17"/>
      <c r="AF37" s="17"/>
      <c r="AG37" s="16"/>
      <c r="AH37" s="17"/>
      <c r="AI37" s="16"/>
    </row>
    <row r="38" spans="1:35" x14ac:dyDescent="0.2">
      <c r="A38" s="16" t="s">
        <v>26</v>
      </c>
      <c r="B38" s="1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9"/>
      <c r="O38" s="62"/>
      <c r="P38" s="17"/>
      <c r="Q38" s="16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9"/>
      <c r="AD38" s="62"/>
      <c r="AE38" s="17"/>
      <c r="AF38" s="17"/>
      <c r="AG38" s="16"/>
      <c r="AH38" s="17"/>
      <c r="AI38" s="16"/>
    </row>
    <row r="39" spans="1:35" x14ac:dyDescent="0.2">
      <c r="A39" s="16" t="s">
        <v>68</v>
      </c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9"/>
      <c r="O39" s="62"/>
      <c r="P39" s="17"/>
      <c r="Q39" s="16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9"/>
      <c r="AD39" s="62"/>
      <c r="AE39" s="17"/>
      <c r="AF39" s="17"/>
      <c r="AG39" s="16"/>
      <c r="AH39" s="17"/>
      <c r="AI39" s="16"/>
    </row>
    <row r="40" spans="1:35" x14ac:dyDescent="0.2">
      <c r="A40" s="16" t="s">
        <v>69</v>
      </c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9"/>
      <c r="O40" s="62"/>
      <c r="P40" s="17"/>
      <c r="Q40" s="1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9"/>
      <c r="AD40" s="62"/>
      <c r="AE40" s="17"/>
      <c r="AF40" s="17"/>
      <c r="AG40" s="16"/>
      <c r="AH40" s="17"/>
      <c r="AI40" s="16"/>
    </row>
    <row r="41" spans="1:35" x14ac:dyDescent="0.2">
      <c r="A41" s="16" t="s">
        <v>69</v>
      </c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9"/>
      <c r="O41" s="62"/>
      <c r="P41" s="17"/>
      <c r="Q41" s="16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9"/>
      <c r="AD41" s="62"/>
      <c r="AE41" s="17"/>
      <c r="AF41" s="17"/>
      <c r="AG41" s="16"/>
      <c r="AH41" s="17"/>
      <c r="AI41" s="16"/>
    </row>
    <row r="42" spans="1:35" x14ac:dyDescent="0.2">
      <c r="A42" s="16" t="s">
        <v>70</v>
      </c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9"/>
      <c r="O42" s="62"/>
      <c r="P42" s="17"/>
      <c r="Q42" s="16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9"/>
      <c r="AD42" s="62"/>
      <c r="AE42" s="17"/>
      <c r="AF42" s="17"/>
      <c r="AG42" s="16"/>
      <c r="AH42" s="17"/>
      <c r="AI42" s="16"/>
    </row>
    <row r="43" spans="1:35" x14ac:dyDescent="0.2">
      <c r="A43" s="16" t="s">
        <v>69</v>
      </c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9"/>
      <c r="O43" s="62"/>
      <c r="P43" s="17"/>
      <c r="Q43" s="1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9"/>
      <c r="AD43" s="62"/>
      <c r="AE43" s="17"/>
      <c r="AF43" s="17"/>
      <c r="AG43" s="16"/>
      <c r="AH43" s="17"/>
      <c r="AI43" s="16"/>
    </row>
    <row r="44" spans="1:35" x14ac:dyDescent="0.2">
      <c r="A44" s="16" t="s">
        <v>71</v>
      </c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  <c r="O44" s="62"/>
      <c r="P44" s="17"/>
      <c r="Q44" s="16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9"/>
      <c r="AD44" s="62"/>
      <c r="AE44" s="17"/>
      <c r="AF44" s="17"/>
      <c r="AG44" s="16"/>
      <c r="AH44" s="17"/>
      <c r="AI44" s="16"/>
    </row>
    <row r="45" spans="1:35" x14ac:dyDescent="0.2">
      <c r="A45" s="16" t="s">
        <v>69</v>
      </c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9"/>
      <c r="O45" s="62"/>
      <c r="P45" s="17"/>
      <c r="Q45" s="16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9"/>
      <c r="AD45" s="62"/>
      <c r="AE45" s="17"/>
      <c r="AF45" s="17"/>
      <c r="AG45" s="16"/>
      <c r="AH45" s="17"/>
      <c r="AI45" s="16"/>
    </row>
    <row r="46" spans="1:35" x14ac:dyDescent="0.2">
      <c r="A46" s="16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9"/>
      <c r="O46" s="62"/>
      <c r="P46" s="17"/>
      <c r="Q46" s="16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9"/>
      <c r="AD46" s="62"/>
      <c r="AE46" s="17"/>
      <c r="AF46" s="17"/>
      <c r="AG46" s="16"/>
      <c r="AH46" s="17"/>
      <c r="AI46" s="16"/>
    </row>
    <row r="47" spans="1:35" x14ac:dyDescent="0.2">
      <c r="A47" s="16" t="s">
        <v>72</v>
      </c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9"/>
      <c r="O47" s="62"/>
      <c r="P47" s="17"/>
      <c r="Q47" s="16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9"/>
      <c r="AD47" s="62"/>
      <c r="AE47" s="17"/>
      <c r="AF47" s="17"/>
      <c r="AG47" s="16"/>
      <c r="AH47" s="17"/>
      <c r="AI47" s="16"/>
    </row>
    <row r="48" spans="1:35" x14ac:dyDescent="0.2">
      <c r="A48" s="16" t="s">
        <v>69</v>
      </c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  <c r="O48" s="62"/>
      <c r="P48" s="17"/>
      <c r="Q48" s="16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9"/>
      <c r="AD48" s="62"/>
      <c r="AE48" s="17"/>
      <c r="AF48" s="17"/>
      <c r="AG48" s="16"/>
      <c r="AH48" s="17"/>
      <c r="AI48" s="16"/>
    </row>
    <row r="49" spans="1:35" x14ac:dyDescent="0.2">
      <c r="A49" s="16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9"/>
      <c r="O49" s="62"/>
      <c r="P49" s="17"/>
      <c r="Q49" s="1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9"/>
      <c r="AD49" s="62"/>
      <c r="AE49" s="17"/>
      <c r="AF49" s="17"/>
      <c r="AG49" s="16"/>
      <c r="AH49" s="17"/>
      <c r="AI49" s="16"/>
    </row>
    <row r="50" spans="1:35" ht="12.75" thickBot="1" x14ac:dyDescent="0.25">
      <c r="A50" s="56"/>
      <c r="B50" s="13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63"/>
      <c r="P50" s="64"/>
      <c r="Q50" s="13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3"/>
      <c r="AD50" s="63"/>
      <c r="AE50" s="64"/>
      <c r="AF50" s="64"/>
      <c r="AG50" s="137"/>
      <c r="AH50" s="64"/>
      <c r="AI50" s="137"/>
    </row>
    <row r="51" spans="1:35" ht="12.75" thickBot="1" x14ac:dyDescent="0.25">
      <c r="A51" s="102" t="s">
        <v>0</v>
      </c>
      <c r="B51" s="138"/>
      <c r="C51" s="13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72"/>
      <c r="O51" s="88"/>
      <c r="P51" s="8"/>
      <c r="Q51" s="56"/>
      <c r="R51" s="13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72"/>
      <c r="AD51" s="88"/>
      <c r="AE51" s="8"/>
      <c r="AF51" s="8"/>
      <c r="AG51" s="56"/>
      <c r="AH51" s="8"/>
      <c r="AI51" s="56"/>
    </row>
    <row r="52" spans="1:35" x14ac:dyDescent="0.2">
      <c r="A52" s="3" t="s">
        <v>73</v>
      </c>
    </row>
    <row r="53" spans="1:35" x14ac:dyDescent="0.2">
      <c r="A53" s="3" t="s">
        <v>74</v>
      </c>
      <c r="B53" s="100" t="s">
        <v>168</v>
      </c>
    </row>
    <row r="54" spans="1:35" x14ac:dyDescent="0.2">
      <c r="A54" s="3" t="s">
        <v>75</v>
      </c>
      <c r="B54" s="100" t="s">
        <v>76</v>
      </c>
    </row>
    <row r="55" spans="1:35" x14ac:dyDescent="0.2">
      <c r="A55" s="3" t="s">
        <v>77</v>
      </c>
      <c r="B55" s="100" t="s">
        <v>78</v>
      </c>
    </row>
    <row r="56" spans="1:35" x14ac:dyDescent="0.2">
      <c r="A56" s="3" t="s">
        <v>79</v>
      </c>
      <c r="B56" s="100" t="s">
        <v>80</v>
      </c>
    </row>
    <row r="57" spans="1:35" x14ac:dyDescent="0.2">
      <c r="B57" s="100" t="s">
        <v>81</v>
      </c>
    </row>
    <row r="58" spans="1:35" x14ac:dyDescent="0.2">
      <c r="A58" s="3" t="s">
        <v>82</v>
      </c>
      <c r="B58" s="100" t="s">
        <v>159</v>
      </c>
    </row>
    <row r="59" spans="1:35" x14ac:dyDescent="0.2">
      <c r="B59" s="100" t="s">
        <v>83</v>
      </c>
    </row>
    <row r="60" spans="1:35" x14ac:dyDescent="0.2">
      <c r="B60" s="100" t="s">
        <v>84</v>
      </c>
    </row>
    <row r="61" spans="1:35" x14ac:dyDescent="0.2">
      <c r="B61" s="100" t="s">
        <v>85</v>
      </c>
    </row>
    <row r="62" spans="1:35" x14ac:dyDescent="0.2">
      <c r="A62" s="127" t="s">
        <v>194</v>
      </c>
      <c r="B62" s="127" t="s">
        <v>195</v>
      </c>
    </row>
    <row r="63" spans="1:35" s="100" customFormat="1" x14ac:dyDescent="0.2">
      <c r="A63" s="127" t="s">
        <v>196</v>
      </c>
      <c r="B63" s="100" t="s">
        <v>164</v>
      </c>
      <c r="F63" s="127"/>
      <c r="G63" s="127"/>
      <c r="H63" s="127"/>
      <c r="I63" s="127"/>
      <c r="U63" s="127"/>
      <c r="V63" s="127"/>
      <c r="W63" s="127"/>
      <c r="X63" s="127"/>
      <c r="AF63" s="162"/>
      <c r="AG63" s="162"/>
    </row>
    <row r="64" spans="1:35" x14ac:dyDescent="0.2">
      <c r="A64" s="127" t="s">
        <v>197</v>
      </c>
      <c r="B64" s="100" t="s">
        <v>160</v>
      </c>
    </row>
    <row r="65" spans="1:33" x14ac:dyDescent="0.2">
      <c r="B65" s="100" t="s">
        <v>83</v>
      </c>
    </row>
    <row r="66" spans="1:33" x14ac:dyDescent="0.2">
      <c r="B66" s="100" t="s">
        <v>84</v>
      </c>
    </row>
    <row r="67" spans="1:33" x14ac:dyDescent="0.2">
      <c r="B67" s="100" t="s">
        <v>123</v>
      </c>
    </row>
    <row r="68" spans="1:33" s="127" customFormat="1" x14ac:dyDescent="0.2">
      <c r="A68" s="127" t="s">
        <v>206</v>
      </c>
      <c r="B68" s="127" t="s">
        <v>207</v>
      </c>
      <c r="AF68" s="162"/>
      <c r="AG68" s="162"/>
    </row>
    <row r="69" spans="1:33" x14ac:dyDescent="0.2">
      <c r="A69" s="127" t="s">
        <v>204</v>
      </c>
      <c r="B69" s="127" t="s">
        <v>200</v>
      </c>
    </row>
    <row r="70" spans="1:33" x14ac:dyDescent="0.2">
      <c r="A70" s="127" t="s">
        <v>205</v>
      </c>
      <c r="B70" s="127" t="s">
        <v>208</v>
      </c>
    </row>
    <row r="85" spans="1:35" x14ac:dyDescent="0.2">
      <c r="A85" s="148" t="s">
        <v>439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</row>
    <row r="86" spans="1:35" x14ac:dyDescent="0.2">
      <c r="A86" s="173" t="s">
        <v>460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51"/>
      <c r="AF86" s="151"/>
      <c r="AG86" s="151"/>
      <c r="AH86" s="151"/>
      <c r="AI86" s="151"/>
    </row>
    <row r="87" spans="1:35" ht="13.5" thickBot="1" x14ac:dyDescent="0.25">
      <c r="A87" s="355" t="s">
        <v>476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50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</row>
    <row r="88" spans="1:35" ht="12.75" thickBot="1" x14ac:dyDescent="0.25">
      <c r="A88" s="1467" t="s">
        <v>50</v>
      </c>
      <c r="B88" s="1489" t="s">
        <v>351</v>
      </c>
      <c r="C88" s="1489"/>
      <c r="D88" s="1489"/>
      <c r="E88" s="1489"/>
      <c r="F88" s="1489"/>
      <c r="G88" s="1489"/>
      <c r="H88" s="1489"/>
      <c r="I88" s="1489"/>
      <c r="J88" s="1489"/>
      <c r="K88" s="1489"/>
      <c r="L88" s="1489"/>
      <c r="M88" s="1489"/>
      <c r="N88" s="1489"/>
      <c r="O88" s="1489"/>
      <c r="P88" s="1489"/>
      <c r="Q88" s="1490" t="s">
        <v>440</v>
      </c>
      <c r="R88" s="1489"/>
      <c r="S88" s="1489"/>
      <c r="T88" s="1489"/>
      <c r="U88" s="1489"/>
      <c r="V88" s="1489"/>
      <c r="W88" s="1489"/>
      <c r="X88" s="1489"/>
      <c r="Y88" s="1489"/>
      <c r="Z88" s="1489"/>
      <c r="AA88" s="1489"/>
      <c r="AB88" s="1489"/>
      <c r="AC88" s="1489"/>
      <c r="AD88" s="1489"/>
      <c r="AE88" s="1491"/>
      <c r="AF88" s="1485" t="s">
        <v>442</v>
      </c>
      <c r="AG88" s="1486"/>
      <c r="AH88" s="1485" t="s">
        <v>441</v>
      </c>
      <c r="AI88" s="1486"/>
    </row>
    <row r="89" spans="1:35" ht="140.25" x14ac:dyDescent="0.2">
      <c r="A89" s="1487"/>
      <c r="B89" s="245" t="s">
        <v>11</v>
      </c>
      <c r="C89" s="246" t="s">
        <v>153</v>
      </c>
      <c r="D89" s="247" t="s">
        <v>279</v>
      </c>
      <c r="E89" s="247" t="s">
        <v>155</v>
      </c>
      <c r="F89" s="247" t="s">
        <v>190</v>
      </c>
      <c r="G89" s="247" t="s">
        <v>191</v>
      </c>
      <c r="H89" s="247" t="s">
        <v>192</v>
      </c>
      <c r="I89" s="247" t="s">
        <v>193</v>
      </c>
      <c r="J89" s="247" t="s">
        <v>156</v>
      </c>
      <c r="K89" s="247" t="s">
        <v>157</v>
      </c>
      <c r="L89" s="247" t="s">
        <v>158</v>
      </c>
      <c r="M89" s="247" t="s">
        <v>189</v>
      </c>
      <c r="N89" s="248" t="s">
        <v>125</v>
      </c>
      <c r="O89" s="249" t="s">
        <v>163</v>
      </c>
      <c r="P89" s="250" t="s">
        <v>162</v>
      </c>
      <c r="Q89" s="245" t="s">
        <v>11</v>
      </c>
      <c r="R89" s="246" t="s">
        <v>153</v>
      </c>
      <c r="S89" s="247" t="s">
        <v>154</v>
      </c>
      <c r="T89" s="247" t="s">
        <v>155</v>
      </c>
      <c r="U89" s="247" t="s">
        <v>190</v>
      </c>
      <c r="V89" s="247" t="s">
        <v>191</v>
      </c>
      <c r="W89" s="247" t="s">
        <v>192</v>
      </c>
      <c r="X89" s="247" t="s">
        <v>193</v>
      </c>
      <c r="Y89" s="247" t="s">
        <v>156</v>
      </c>
      <c r="Z89" s="247" t="s">
        <v>157</v>
      </c>
      <c r="AA89" s="247" t="s">
        <v>158</v>
      </c>
      <c r="AB89" s="247" t="s">
        <v>189</v>
      </c>
      <c r="AC89" s="248" t="s">
        <v>125</v>
      </c>
      <c r="AD89" s="249" t="s">
        <v>163</v>
      </c>
      <c r="AE89" s="250" t="s">
        <v>352</v>
      </c>
      <c r="AF89" s="251" t="s">
        <v>167</v>
      </c>
      <c r="AG89" s="251" t="s">
        <v>166</v>
      </c>
      <c r="AH89" s="251" t="s">
        <v>11</v>
      </c>
      <c r="AI89" s="250" t="s">
        <v>353</v>
      </c>
    </row>
    <row r="90" spans="1:35" ht="12.75" thickBot="1" x14ac:dyDescent="0.25">
      <c r="A90" s="1488"/>
      <c r="B90" s="252" t="s">
        <v>51</v>
      </c>
      <c r="C90" s="253" t="s">
        <v>52</v>
      </c>
      <c r="D90" s="254" t="s">
        <v>53</v>
      </c>
      <c r="E90" s="254" t="s">
        <v>54</v>
      </c>
      <c r="F90" s="255" t="s">
        <v>55</v>
      </c>
      <c r="G90" s="255" t="s">
        <v>56</v>
      </c>
      <c r="H90" s="255" t="s">
        <v>86</v>
      </c>
      <c r="I90" s="255" t="s">
        <v>124</v>
      </c>
      <c r="J90" s="255" t="s">
        <v>161</v>
      </c>
      <c r="K90" s="255" t="s">
        <v>165</v>
      </c>
      <c r="L90" s="255" t="s">
        <v>198</v>
      </c>
      <c r="M90" s="255" t="s">
        <v>199</v>
      </c>
      <c r="N90" s="256" t="s">
        <v>201</v>
      </c>
      <c r="O90" s="257" t="s">
        <v>202</v>
      </c>
      <c r="P90" s="258" t="s">
        <v>203</v>
      </c>
      <c r="Q90" s="252" t="s">
        <v>51</v>
      </c>
      <c r="R90" s="253" t="s">
        <v>52</v>
      </c>
      <c r="S90" s="254" t="s">
        <v>53</v>
      </c>
      <c r="T90" s="254" t="s">
        <v>54</v>
      </c>
      <c r="U90" s="255" t="s">
        <v>55</v>
      </c>
      <c r="V90" s="255" t="s">
        <v>56</v>
      </c>
      <c r="W90" s="255" t="s">
        <v>86</v>
      </c>
      <c r="X90" s="255" t="s">
        <v>124</v>
      </c>
      <c r="Y90" s="255" t="s">
        <v>161</v>
      </c>
      <c r="Z90" s="255" t="s">
        <v>165</v>
      </c>
      <c r="AA90" s="255" t="s">
        <v>198</v>
      </c>
      <c r="AB90" s="255" t="s">
        <v>199</v>
      </c>
      <c r="AC90" s="256" t="s">
        <v>201</v>
      </c>
      <c r="AD90" s="257" t="s">
        <v>202</v>
      </c>
      <c r="AE90" s="258" t="s">
        <v>203</v>
      </c>
      <c r="AF90" s="259"/>
      <c r="AG90" s="252"/>
      <c r="AH90" s="259"/>
      <c r="AI90" s="252"/>
    </row>
    <row r="91" spans="1:35" x14ac:dyDescent="0.2">
      <c r="A91" s="55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9"/>
      <c r="O91" s="62"/>
      <c r="P91" s="17"/>
      <c r="Q91" s="16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9"/>
      <c r="AD91" s="62"/>
      <c r="AE91" s="17"/>
      <c r="AF91" s="17"/>
      <c r="AG91" s="16"/>
      <c r="AH91" s="17"/>
      <c r="AI91" s="16"/>
    </row>
    <row r="92" spans="1:35" x14ac:dyDescent="0.2">
      <c r="A92" s="16" t="s">
        <v>57</v>
      </c>
      <c r="B92" s="1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  <c r="O92" s="62"/>
      <c r="P92" s="17"/>
      <c r="Q92" s="16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9"/>
      <c r="AD92" s="62"/>
      <c r="AE92" s="17"/>
      <c r="AF92" s="17"/>
      <c r="AG92" s="16"/>
      <c r="AH92" s="17"/>
      <c r="AI92" s="16"/>
    </row>
    <row r="93" spans="1:35" x14ac:dyDescent="0.2">
      <c r="A93" s="16" t="s">
        <v>58</v>
      </c>
      <c r="B93" s="1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  <c r="O93" s="62"/>
      <c r="P93" s="17"/>
      <c r="Q93" s="16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9"/>
      <c r="AD93" s="62"/>
      <c r="AE93" s="17"/>
      <c r="AF93" s="17"/>
      <c r="AG93" s="16"/>
      <c r="AH93" s="17"/>
      <c r="AI93" s="16"/>
    </row>
    <row r="94" spans="1:35" x14ac:dyDescent="0.2">
      <c r="A94" s="16" t="s">
        <v>58</v>
      </c>
      <c r="B94" s="75"/>
      <c r="C94" s="76"/>
      <c r="D94" s="76"/>
      <c r="E94" s="76"/>
      <c r="F94" s="76"/>
      <c r="G94" s="76"/>
      <c r="H94" s="76"/>
      <c r="I94" s="76"/>
      <c r="J94" s="76"/>
      <c r="K94" s="12"/>
      <c r="L94" s="12"/>
      <c r="M94" s="12"/>
      <c r="N94" s="9"/>
      <c r="O94" s="62"/>
      <c r="P94" s="17"/>
      <c r="Q94" s="16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9"/>
      <c r="AD94" s="62"/>
      <c r="AE94" s="17"/>
      <c r="AF94" s="17"/>
      <c r="AG94" s="16"/>
      <c r="AH94" s="17"/>
      <c r="AI94" s="16"/>
    </row>
    <row r="95" spans="1:35" x14ac:dyDescent="0.2">
      <c r="A95" s="16" t="s">
        <v>59</v>
      </c>
      <c r="B95" s="1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  <c r="O95" s="62"/>
      <c r="P95" s="17"/>
      <c r="Q95" s="16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9"/>
      <c r="AD95" s="62"/>
      <c r="AE95" s="17"/>
      <c r="AF95" s="17"/>
      <c r="AG95" s="16"/>
      <c r="AH95" s="17"/>
      <c r="AI95" s="16"/>
    </row>
    <row r="96" spans="1:35" x14ac:dyDescent="0.2">
      <c r="A96" s="16" t="s">
        <v>58</v>
      </c>
      <c r="B96" s="16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  <c r="O96" s="62"/>
      <c r="P96" s="17"/>
      <c r="Q96" s="16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9"/>
      <c r="AD96" s="62"/>
      <c r="AE96" s="17"/>
      <c r="AF96" s="17"/>
      <c r="AG96" s="16"/>
      <c r="AH96" s="17"/>
      <c r="AI96" s="16"/>
    </row>
    <row r="97" spans="1:35" x14ac:dyDescent="0.2">
      <c r="A97" s="16" t="s">
        <v>58</v>
      </c>
      <c r="B97" s="1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  <c r="O97" s="62"/>
      <c r="P97" s="17"/>
      <c r="Q97" s="16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9"/>
      <c r="AD97" s="62"/>
      <c r="AE97" s="17"/>
      <c r="AF97" s="17"/>
      <c r="AG97" s="16"/>
      <c r="AH97" s="17"/>
      <c r="AI97" s="16"/>
    </row>
    <row r="98" spans="1:35" x14ac:dyDescent="0.2">
      <c r="A98" s="16" t="s">
        <v>60</v>
      </c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9"/>
      <c r="O98" s="62"/>
      <c r="P98" s="17"/>
      <c r="Q98" s="16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9"/>
      <c r="AD98" s="62"/>
      <c r="AE98" s="17"/>
      <c r="AF98" s="17"/>
      <c r="AG98" s="16"/>
      <c r="AH98" s="17"/>
      <c r="AI98" s="16"/>
    </row>
    <row r="99" spans="1:35" x14ac:dyDescent="0.2">
      <c r="A99" s="16" t="s">
        <v>58</v>
      </c>
      <c r="B99" s="16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9"/>
      <c r="O99" s="62"/>
      <c r="P99" s="17"/>
      <c r="Q99" s="16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9"/>
      <c r="AD99" s="62"/>
      <c r="AE99" s="17"/>
      <c r="AF99" s="17"/>
      <c r="AG99" s="16"/>
      <c r="AH99" s="17"/>
      <c r="AI99" s="16"/>
    </row>
    <row r="100" spans="1:35" x14ac:dyDescent="0.2">
      <c r="A100" s="16" t="s">
        <v>58</v>
      </c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9"/>
      <c r="O100" s="62"/>
      <c r="P100" s="17"/>
      <c r="Q100" s="16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9"/>
      <c r="AD100" s="62"/>
      <c r="AE100" s="17"/>
      <c r="AF100" s="17"/>
      <c r="AG100" s="16"/>
      <c r="AH100" s="17"/>
      <c r="AI100" s="16"/>
    </row>
    <row r="101" spans="1:35" x14ac:dyDescent="0.2">
      <c r="A101" s="16" t="s">
        <v>61</v>
      </c>
      <c r="B101" s="1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9"/>
      <c r="O101" s="62"/>
      <c r="P101" s="17"/>
      <c r="Q101" s="16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9"/>
      <c r="AD101" s="62"/>
      <c r="AE101" s="17"/>
      <c r="AF101" s="17"/>
      <c r="AG101" s="16"/>
      <c r="AH101" s="17"/>
      <c r="AI101" s="16"/>
    </row>
    <row r="102" spans="1:35" x14ac:dyDescent="0.2">
      <c r="A102" s="16" t="s">
        <v>58</v>
      </c>
      <c r="B102" s="1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9"/>
      <c r="O102" s="62"/>
      <c r="P102" s="17"/>
      <c r="Q102" s="16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9"/>
      <c r="AD102" s="62"/>
      <c r="AE102" s="17"/>
      <c r="AF102" s="17"/>
      <c r="AG102" s="16"/>
      <c r="AH102" s="17"/>
      <c r="AI102" s="16"/>
    </row>
    <row r="103" spans="1:35" x14ac:dyDescent="0.2">
      <c r="A103" s="16" t="s">
        <v>58</v>
      </c>
      <c r="B103" s="16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9"/>
      <c r="O103" s="62"/>
      <c r="P103" s="17"/>
      <c r="Q103" s="16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9"/>
      <c r="AD103" s="62"/>
      <c r="AE103" s="17"/>
      <c r="AF103" s="17"/>
      <c r="AG103" s="16"/>
      <c r="AH103" s="17"/>
      <c r="AI103" s="16"/>
    </row>
    <row r="104" spans="1:35" x14ac:dyDescent="0.2">
      <c r="A104" s="16" t="s">
        <v>62</v>
      </c>
      <c r="B104" s="1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  <c r="O104" s="62"/>
      <c r="P104" s="17"/>
      <c r="Q104" s="16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9"/>
      <c r="AD104" s="62"/>
      <c r="AE104" s="17"/>
      <c r="AF104" s="17"/>
      <c r="AG104" s="16"/>
      <c r="AH104" s="17"/>
      <c r="AI104" s="16"/>
    </row>
    <row r="105" spans="1:35" x14ac:dyDescent="0.2">
      <c r="A105" s="16" t="s">
        <v>58</v>
      </c>
      <c r="B105" s="16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  <c r="O105" s="62"/>
      <c r="P105" s="17"/>
      <c r="Q105" s="16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9"/>
      <c r="AD105" s="62"/>
      <c r="AE105" s="17"/>
      <c r="AF105" s="17"/>
      <c r="AG105" s="16"/>
      <c r="AH105" s="17"/>
      <c r="AI105" s="16"/>
    </row>
    <row r="106" spans="1:35" x14ac:dyDescent="0.2">
      <c r="A106" s="16" t="s">
        <v>58</v>
      </c>
      <c r="B106" s="16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  <c r="O106" s="62"/>
      <c r="P106" s="17"/>
      <c r="Q106" s="16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9"/>
      <c r="AD106" s="62"/>
      <c r="AE106" s="17"/>
      <c r="AF106" s="17"/>
      <c r="AG106" s="16"/>
      <c r="AH106" s="17"/>
      <c r="AI106" s="16"/>
    </row>
    <row r="107" spans="1:35" x14ac:dyDescent="0.2">
      <c r="A107" s="16" t="s">
        <v>63</v>
      </c>
      <c r="B107" s="16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  <c r="O107" s="62"/>
      <c r="P107" s="17"/>
      <c r="Q107" s="16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9"/>
      <c r="AD107" s="62"/>
      <c r="AE107" s="17"/>
      <c r="AF107" s="17"/>
      <c r="AG107" s="16"/>
      <c r="AH107" s="17"/>
      <c r="AI107" s="16"/>
    </row>
    <row r="108" spans="1:35" x14ac:dyDescent="0.2">
      <c r="A108" s="16" t="s">
        <v>58</v>
      </c>
      <c r="B108" s="16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  <c r="O108" s="62"/>
      <c r="P108" s="17"/>
      <c r="Q108" s="16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9"/>
      <c r="AD108" s="62"/>
      <c r="AE108" s="17"/>
      <c r="AF108" s="17"/>
      <c r="AG108" s="16"/>
      <c r="AH108" s="17"/>
      <c r="AI108" s="16"/>
    </row>
    <row r="109" spans="1:35" x14ac:dyDescent="0.2">
      <c r="A109" s="16" t="s">
        <v>58</v>
      </c>
      <c r="B109" s="16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  <c r="O109" s="62"/>
      <c r="P109" s="17"/>
      <c r="Q109" s="16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9"/>
      <c r="AD109" s="62"/>
      <c r="AE109" s="17"/>
      <c r="AF109" s="17"/>
      <c r="AG109" s="16"/>
      <c r="AH109" s="17"/>
      <c r="AI109" s="16"/>
    </row>
    <row r="110" spans="1:35" x14ac:dyDescent="0.2">
      <c r="A110" s="16" t="s">
        <v>64</v>
      </c>
      <c r="B110" s="1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9"/>
      <c r="O110" s="62"/>
      <c r="P110" s="17"/>
      <c r="Q110" s="16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9"/>
      <c r="AD110" s="62"/>
      <c r="AE110" s="17"/>
      <c r="AF110" s="17"/>
      <c r="AG110" s="16"/>
      <c r="AH110" s="17"/>
      <c r="AI110" s="16"/>
    </row>
    <row r="111" spans="1:35" x14ac:dyDescent="0.2">
      <c r="A111" s="16" t="s">
        <v>58</v>
      </c>
      <c r="B111" s="1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9"/>
      <c r="O111" s="62"/>
      <c r="P111" s="17"/>
      <c r="Q111" s="16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9"/>
      <c r="AD111" s="62"/>
      <c r="AE111" s="17"/>
      <c r="AF111" s="17"/>
      <c r="AG111" s="16"/>
      <c r="AH111" s="17"/>
      <c r="AI111" s="16"/>
    </row>
    <row r="112" spans="1:35" x14ac:dyDescent="0.2">
      <c r="A112" s="16" t="s">
        <v>58</v>
      </c>
      <c r="B112" s="1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9"/>
      <c r="O112" s="62"/>
      <c r="P112" s="17"/>
      <c r="Q112" s="16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9"/>
      <c r="AD112" s="62"/>
      <c r="AE112" s="17"/>
      <c r="AF112" s="17"/>
      <c r="AG112" s="16"/>
      <c r="AH112" s="17"/>
      <c r="AI112" s="16"/>
    </row>
    <row r="113" spans="1:35" x14ac:dyDescent="0.2">
      <c r="A113" s="16" t="s">
        <v>65</v>
      </c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9"/>
      <c r="O113" s="62"/>
      <c r="P113" s="17"/>
      <c r="Q113" s="16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9"/>
      <c r="AD113" s="62"/>
      <c r="AE113" s="17"/>
      <c r="AF113" s="17"/>
      <c r="AG113" s="16"/>
      <c r="AH113" s="17"/>
      <c r="AI113" s="16"/>
    </row>
    <row r="114" spans="1:35" x14ac:dyDescent="0.2">
      <c r="A114" s="16" t="s">
        <v>58</v>
      </c>
      <c r="B114" s="1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9"/>
      <c r="O114" s="62"/>
      <c r="P114" s="17"/>
      <c r="Q114" s="16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9"/>
      <c r="AD114" s="62"/>
      <c r="AE114" s="17"/>
      <c r="AF114" s="17"/>
      <c r="AG114" s="16"/>
      <c r="AH114" s="17"/>
      <c r="AI114" s="16"/>
    </row>
    <row r="115" spans="1:35" x14ac:dyDescent="0.2">
      <c r="A115" s="16" t="s">
        <v>58</v>
      </c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9"/>
      <c r="O115" s="62"/>
      <c r="P115" s="17"/>
      <c r="Q115" s="16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9"/>
      <c r="AD115" s="62"/>
      <c r="AE115" s="17"/>
      <c r="AF115" s="17"/>
      <c r="AG115" s="16"/>
      <c r="AH115" s="17"/>
      <c r="AI115" s="16"/>
    </row>
    <row r="116" spans="1:35" x14ac:dyDescent="0.2">
      <c r="A116" s="16" t="s">
        <v>66</v>
      </c>
      <c r="B116" s="1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9"/>
      <c r="O116" s="62"/>
      <c r="P116" s="17"/>
      <c r="Q116" s="16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9"/>
      <c r="AD116" s="62"/>
      <c r="AE116" s="17"/>
      <c r="AF116" s="17"/>
      <c r="AG116" s="16"/>
      <c r="AH116" s="17"/>
      <c r="AI116" s="16"/>
    </row>
    <row r="117" spans="1:35" x14ac:dyDescent="0.2">
      <c r="A117" s="16" t="s">
        <v>58</v>
      </c>
      <c r="B117" s="1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9"/>
      <c r="O117" s="62"/>
      <c r="P117" s="17"/>
      <c r="Q117" s="16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9"/>
      <c r="AD117" s="62"/>
      <c r="AE117" s="17"/>
      <c r="AF117" s="17"/>
      <c r="AG117" s="16"/>
      <c r="AH117" s="17"/>
      <c r="AI117" s="16"/>
    </row>
    <row r="118" spans="1:35" x14ac:dyDescent="0.2">
      <c r="A118" s="16" t="s">
        <v>58</v>
      </c>
      <c r="B118" s="1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9"/>
      <c r="O118" s="62"/>
      <c r="P118" s="17"/>
      <c r="Q118" s="16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9"/>
      <c r="AD118" s="62"/>
      <c r="AE118" s="17"/>
      <c r="AF118" s="17"/>
      <c r="AG118" s="16"/>
      <c r="AH118" s="17"/>
      <c r="AI118" s="16"/>
    </row>
    <row r="119" spans="1:35" x14ac:dyDescent="0.2">
      <c r="A119" s="16" t="s">
        <v>67</v>
      </c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9"/>
      <c r="O119" s="62"/>
      <c r="P119" s="17"/>
      <c r="Q119" s="16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9"/>
      <c r="AD119" s="62"/>
      <c r="AE119" s="17"/>
      <c r="AF119" s="17"/>
      <c r="AG119" s="16"/>
      <c r="AH119" s="17"/>
      <c r="AI119" s="16"/>
    </row>
    <row r="120" spans="1:35" x14ac:dyDescent="0.2">
      <c r="A120" s="16" t="s">
        <v>58</v>
      </c>
      <c r="B120" s="1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9"/>
      <c r="O120" s="62"/>
      <c r="P120" s="17"/>
      <c r="Q120" s="16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9"/>
      <c r="AD120" s="62"/>
      <c r="AE120" s="17"/>
      <c r="AF120" s="17"/>
      <c r="AG120" s="16"/>
      <c r="AH120" s="17"/>
      <c r="AI120" s="16"/>
    </row>
    <row r="121" spans="1:35" x14ac:dyDescent="0.2">
      <c r="A121" s="16" t="s">
        <v>58</v>
      </c>
      <c r="B121" s="1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9"/>
      <c r="O121" s="62"/>
      <c r="P121" s="17"/>
      <c r="Q121" s="16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9"/>
      <c r="AD121" s="62"/>
      <c r="AE121" s="17"/>
      <c r="AF121" s="17"/>
      <c r="AG121" s="16"/>
      <c r="AH121" s="17"/>
      <c r="AI121" s="16"/>
    </row>
    <row r="122" spans="1:35" x14ac:dyDescent="0.2">
      <c r="A122" s="16" t="s">
        <v>26</v>
      </c>
      <c r="B122" s="1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9"/>
      <c r="O122" s="62"/>
      <c r="P122" s="17"/>
      <c r="Q122" s="16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9"/>
      <c r="AD122" s="62"/>
      <c r="AE122" s="17"/>
      <c r="AF122" s="17"/>
      <c r="AG122" s="16"/>
      <c r="AH122" s="17"/>
      <c r="AI122" s="16"/>
    </row>
    <row r="123" spans="1:35" x14ac:dyDescent="0.2">
      <c r="A123" s="16" t="s">
        <v>68</v>
      </c>
      <c r="B123" s="1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9"/>
      <c r="O123" s="62"/>
      <c r="P123" s="17"/>
      <c r="Q123" s="16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9"/>
      <c r="AD123" s="62"/>
      <c r="AE123" s="17"/>
      <c r="AF123" s="17"/>
      <c r="AG123" s="16"/>
      <c r="AH123" s="17"/>
      <c r="AI123" s="16"/>
    </row>
    <row r="124" spans="1:35" x14ac:dyDescent="0.2">
      <c r="A124" s="16" t="s">
        <v>69</v>
      </c>
      <c r="B124" s="1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9"/>
      <c r="O124" s="62"/>
      <c r="P124" s="17"/>
      <c r="Q124" s="16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9"/>
      <c r="AD124" s="62"/>
      <c r="AE124" s="17"/>
      <c r="AF124" s="17"/>
      <c r="AG124" s="16"/>
      <c r="AH124" s="17"/>
      <c r="AI124" s="16"/>
    </row>
    <row r="125" spans="1:35" x14ac:dyDescent="0.2">
      <c r="A125" s="16" t="s">
        <v>69</v>
      </c>
      <c r="B125" s="1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9"/>
      <c r="O125" s="62"/>
      <c r="P125" s="17"/>
      <c r="Q125" s="16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9"/>
      <c r="AD125" s="62"/>
      <c r="AE125" s="17"/>
      <c r="AF125" s="17"/>
      <c r="AG125" s="16"/>
      <c r="AH125" s="17"/>
      <c r="AI125" s="16"/>
    </row>
    <row r="126" spans="1:35" x14ac:dyDescent="0.2">
      <c r="A126" s="16" t="s">
        <v>70</v>
      </c>
      <c r="B126" s="1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9"/>
      <c r="O126" s="62"/>
      <c r="P126" s="17"/>
      <c r="Q126" s="16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9"/>
      <c r="AD126" s="62"/>
      <c r="AE126" s="17"/>
      <c r="AF126" s="17"/>
      <c r="AG126" s="16"/>
      <c r="AH126" s="17"/>
      <c r="AI126" s="16"/>
    </row>
    <row r="127" spans="1:35" x14ac:dyDescent="0.2">
      <c r="A127" s="16" t="s">
        <v>69</v>
      </c>
      <c r="B127" s="1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9"/>
      <c r="O127" s="62"/>
      <c r="P127" s="17"/>
      <c r="Q127" s="16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9"/>
      <c r="AD127" s="62"/>
      <c r="AE127" s="17"/>
      <c r="AF127" s="17"/>
      <c r="AG127" s="16"/>
      <c r="AH127" s="17"/>
      <c r="AI127" s="16"/>
    </row>
    <row r="128" spans="1:35" x14ac:dyDescent="0.2">
      <c r="A128" s="16" t="s">
        <v>71</v>
      </c>
      <c r="B128" s="1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9"/>
      <c r="O128" s="62"/>
      <c r="P128" s="17"/>
      <c r="Q128" s="16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9"/>
      <c r="AD128" s="62"/>
      <c r="AE128" s="17"/>
      <c r="AF128" s="17"/>
      <c r="AG128" s="16"/>
      <c r="AH128" s="17"/>
      <c r="AI128" s="16"/>
    </row>
    <row r="129" spans="1:35" x14ac:dyDescent="0.2">
      <c r="A129" s="16" t="s">
        <v>69</v>
      </c>
      <c r="B129" s="1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9"/>
      <c r="O129" s="62"/>
      <c r="P129" s="17"/>
      <c r="Q129" s="16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9"/>
      <c r="AD129" s="62"/>
      <c r="AE129" s="17"/>
      <c r="AF129" s="17"/>
      <c r="AG129" s="16"/>
      <c r="AH129" s="17"/>
      <c r="AI129" s="16"/>
    </row>
    <row r="130" spans="1:35" x14ac:dyDescent="0.2">
      <c r="A130" s="16"/>
      <c r="B130" s="1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9"/>
      <c r="O130" s="62"/>
      <c r="P130" s="17"/>
      <c r="Q130" s="16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9"/>
      <c r="AD130" s="62"/>
      <c r="AE130" s="17"/>
      <c r="AF130" s="17"/>
      <c r="AG130" s="16"/>
      <c r="AH130" s="17"/>
      <c r="AI130" s="16"/>
    </row>
    <row r="131" spans="1:35" x14ac:dyDescent="0.2">
      <c r="A131" s="16" t="s">
        <v>72</v>
      </c>
      <c r="B131" s="1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9"/>
      <c r="O131" s="62"/>
      <c r="P131" s="17"/>
      <c r="Q131" s="16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9"/>
      <c r="AD131" s="62"/>
      <c r="AE131" s="17"/>
      <c r="AF131" s="17"/>
      <c r="AG131" s="16"/>
      <c r="AH131" s="17"/>
      <c r="AI131" s="16"/>
    </row>
    <row r="132" spans="1:35" x14ac:dyDescent="0.2">
      <c r="A132" s="16" t="s">
        <v>69</v>
      </c>
      <c r="B132" s="1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9"/>
      <c r="O132" s="62"/>
      <c r="P132" s="17"/>
      <c r="Q132" s="16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9"/>
      <c r="AD132" s="62"/>
      <c r="AE132" s="17"/>
      <c r="AF132" s="17"/>
      <c r="AG132" s="16"/>
      <c r="AH132" s="17"/>
      <c r="AI132" s="16"/>
    </row>
    <row r="133" spans="1:35" x14ac:dyDescent="0.2">
      <c r="A133" s="16"/>
      <c r="B133" s="1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9"/>
      <c r="O133" s="62"/>
      <c r="P133" s="17"/>
      <c r="Q133" s="16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9"/>
      <c r="AD133" s="62"/>
      <c r="AE133" s="17"/>
      <c r="AF133" s="17"/>
      <c r="AG133" s="16"/>
      <c r="AH133" s="17"/>
      <c r="AI133" s="16"/>
    </row>
    <row r="134" spans="1:35" ht="12.75" thickBot="1" x14ac:dyDescent="0.25">
      <c r="A134" s="56"/>
      <c r="B134" s="137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3"/>
      <c r="O134" s="63"/>
      <c r="P134" s="64"/>
      <c r="Q134" s="137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3"/>
      <c r="AD134" s="63"/>
      <c r="AE134" s="64"/>
      <c r="AF134" s="64"/>
      <c r="AG134" s="137"/>
      <c r="AH134" s="64"/>
      <c r="AI134" s="137"/>
    </row>
    <row r="135" spans="1:35" ht="12.75" thickBot="1" x14ac:dyDescent="0.25">
      <c r="A135" s="102" t="s">
        <v>0</v>
      </c>
      <c r="B135" s="138"/>
      <c r="C135" s="13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72"/>
      <c r="O135" s="88"/>
      <c r="P135" s="8"/>
      <c r="Q135" s="56"/>
      <c r="R135" s="13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72"/>
      <c r="AD135" s="88"/>
      <c r="AE135" s="8"/>
      <c r="AF135" s="8"/>
      <c r="AG135" s="56"/>
      <c r="AH135" s="8"/>
      <c r="AI135" s="56"/>
    </row>
    <row r="136" spans="1:35" x14ac:dyDescent="0.2">
      <c r="A136" s="162" t="s">
        <v>73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H136" s="162"/>
      <c r="AI136" s="162"/>
    </row>
    <row r="137" spans="1:35" x14ac:dyDescent="0.2">
      <c r="A137" s="162" t="s">
        <v>74</v>
      </c>
      <c r="B137" s="162" t="s">
        <v>168</v>
      </c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H137" s="162"/>
      <c r="AI137" s="162"/>
    </row>
    <row r="138" spans="1:35" x14ac:dyDescent="0.2">
      <c r="A138" s="162" t="s">
        <v>75</v>
      </c>
      <c r="B138" s="162" t="s">
        <v>76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H138" s="162"/>
      <c r="AI138" s="162"/>
    </row>
    <row r="139" spans="1:35" x14ac:dyDescent="0.2">
      <c r="A139" s="162" t="s">
        <v>77</v>
      </c>
      <c r="B139" s="162" t="s">
        <v>78</v>
      </c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H139" s="162"/>
      <c r="AI139" s="162"/>
    </row>
    <row r="140" spans="1:35" x14ac:dyDescent="0.2">
      <c r="A140" s="162" t="s">
        <v>79</v>
      </c>
      <c r="B140" s="162" t="s">
        <v>80</v>
      </c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H140" s="162"/>
      <c r="AI140" s="162"/>
    </row>
    <row r="141" spans="1:35" x14ac:dyDescent="0.2">
      <c r="A141" s="162"/>
      <c r="B141" s="162" t="s">
        <v>81</v>
      </c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H141" s="162"/>
      <c r="AI141" s="162"/>
    </row>
    <row r="142" spans="1:35" x14ac:dyDescent="0.2">
      <c r="A142" s="162" t="s">
        <v>82</v>
      </c>
      <c r="B142" s="162" t="s">
        <v>159</v>
      </c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H142" s="162"/>
      <c r="AI142" s="162"/>
    </row>
    <row r="143" spans="1:35" x14ac:dyDescent="0.2">
      <c r="A143" s="162"/>
      <c r="B143" s="162" t="s">
        <v>83</v>
      </c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H143" s="162"/>
      <c r="AI143" s="162"/>
    </row>
    <row r="144" spans="1:35" x14ac:dyDescent="0.2">
      <c r="A144" s="162"/>
      <c r="B144" s="162" t="s">
        <v>84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H144" s="162"/>
      <c r="AI144" s="162"/>
    </row>
    <row r="145" spans="1:35" x14ac:dyDescent="0.2">
      <c r="A145" s="162"/>
      <c r="B145" s="162" t="s">
        <v>85</v>
      </c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H145" s="162"/>
      <c r="AI145" s="162"/>
    </row>
    <row r="146" spans="1:35" x14ac:dyDescent="0.2">
      <c r="A146" s="162" t="s">
        <v>194</v>
      </c>
      <c r="B146" s="162" t="s">
        <v>195</v>
      </c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H146" s="162"/>
      <c r="AI146" s="162"/>
    </row>
    <row r="147" spans="1:35" x14ac:dyDescent="0.2">
      <c r="A147" s="162" t="s">
        <v>196</v>
      </c>
      <c r="B147" s="162" t="s">
        <v>164</v>
      </c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H147" s="162"/>
      <c r="AI147" s="162"/>
    </row>
    <row r="148" spans="1:35" x14ac:dyDescent="0.2">
      <c r="A148" s="162" t="s">
        <v>197</v>
      </c>
      <c r="B148" s="162" t="s">
        <v>160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H148" s="162"/>
      <c r="AI148" s="162"/>
    </row>
    <row r="149" spans="1:35" x14ac:dyDescent="0.2">
      <c r="A149" s="162"/>
      <c r="B149" s="162" t="s">
        <v>83</v>
      </c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H149" s="162"/>
      <c r="AI149" s="162"/>
    </row>
    <row r="150" spans="1:35" x14ac:dyDescent="0.2">
      <c r="A150" s="162"/>
      <c r="B150" s="162" t="s">
        <v>84</v>
      </c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H150" s="162"/>
      <c r="AI150" s="162"/>
    </row>
    <row r="151" spans="1:35" x14ac:dyDescent="0.2">
      <c r="A151" s="162"/>
      <c r="B151" s="162" t="s">
        <v>123</v>
      </c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H151" s="162"/>
      <c r="AI151" s="162"/>
    </row>
    <row r="152" spans="1:35" x14ac:dyDescent="0.2">
      <c r="A152" s="162" t="s">
        <v>206</v>
      </c>
      <c r="B152" s="162" t="s">
        <v>207</v>
      </c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H152" s="162"/>
      <c r="AI152" s="162"/>
    </row>
    <row r="153" spans="1:35" x14ac:dyDescent="0.2">
      <c r="A153" s="162" t="s">
        <v>204</v>
      </c>
      <c r="B153" s="162" t="s">
        <v>200</v>
      </c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H153" s="162"/>
      <c r="AI153" s="162"/>
    </row>
    <row r="154" spans="1:35" x14ac:dyDescent="0.2">
      <c r="A154" s="162" t="s">
        <v>205</v>
      </c>
      <c r="B154" s="162" t="s">
        <v>208</v>
      </c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H154" s="162"/>
      <c r="AI154" s="162"/>
    </row>
    <row r="159" spans="1:35" ht="12.75" x14ac:dyDescent="0.2">
      <c r="A159" s="561" t="s">
        <v>4261</v>
      </c>
      <c r="B159" s="1282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276"/>
      <c r="AF159" s="1276"/>
      <c r="AG159" s="1276"/>
      <c r="AH159" s="1276"/>
      <c r="AI159" s="1276"/>
    </row>
    <row r="160" spans="1:35" ht="13.5" thickBot="1" x14ac:dyDescent="0.25">
      <c r="A160" s="561" t="s">
        <v>4262</v>
      </c>
      <c r="B160" s="1283"/>
      <c r="C160" s="1284"/>
      <c r="D160" s="1284"/>
      <c r="E160" s="1284"/>
      <c r="F160" s="1284"/>
      <c r="G160" s="1284"/>
      <c r="H160" s="1284"/>
      <c r="I160" s="1284"/>
      <c r="J160" s="1284"/>
      <c r="K160" s="1284"/>
      <c r="L160" s="1284"/>
      <c r="M160" s="1284"/>
      <c r="N160" s="1284"/>
      <c r="O160" s="1284"/>
      <c r="P160" s="1284"/>
      <c r="Q160" s="1284"/>
      <c r="R160" s="1284"/>
      <c r="S160" s="1284"/>
      <c r="T160" s="1284"/>
      <c r="U160" s="1284"/>
      <c r="V160" s="1284"/>
      <c r="W160" s="1284"/>
      <c r="X160" s="1284"/>
      <c r="Y160" s="1284"/>
      <c r="Z160" s="1284"/>
      <c r="AA160" s="1284"/>
      <c r="AB160" s="1284"/>
      <c r="AC160" s="1284"/>
      <c r="AD160" s="1284"/>
      <c r="AE160" s="1284"/>
      <c r="AF160" s="1284"/>
      <c r="AG160" s="1284"/>
      <c r="AH160" s="1284"/>
      <c r="AI160" s="1284"/>
    </row>
    <row r="161" spans="1:35" ht="12.75" thickBot="1" x14ac:dyDescent="0.25">
      <c r="A161" s="1492" t="s">
        <v>50</v>
      </c>
      <c r="B161" s="1495" t="s">
        <v>351</v>
      </c>
      <c r="C161" s="1496"/>
      <c r="D161" s="1496"/>
      <c r="E161" s="1496"/>
      <c r="F161" s="1496"/>
      <c r="G161" s="1496"/>
      <c r="H161" s="1496"/>
      <c r="I161" s="1496"/>
      <c r="J161" s="1496"/>
      <c r="K161" s="1496"/>
      <c r="L161" s="1496"/>
      <c r="M161" s="1496"/>
      <c r="N161" s="1496"/>
      <c r="O161" s="1496"/>
      <c r="P161" s="1497"/>
      <c r="Q161" s="1495" t="s">
        <v>440</v>
      </c>
      <c r="R161" s="1496"/>
      <c r="S161" s="1496"/>
      <c r="T161" s="1496"/>
      <c r="U161" s="1496"/>
      <c r="V161" s="1496"/>
      <c r="W161" s="1496"/>
      <c r="X161" s="1496"/>
      <c r="Y161" s="1496"/>
      <c r="Z161" s="1496"/>
      <c r="AA161" s="1496"/>
      <c r="AB161" s="1496"/>
      <c r="AC161" s="1496"/>
      <c r="AD161" s="1496"/>
      <c r="AE161" s="1497"/>
      <c r="AF161" s="1498" t="s">
        <v>442</v>
      </c>
      <c r="AG161" s="1499"/>
      <c r="AH161" s="1498" t="s">
        <v>441</v>
      </c>
      <c r="AI161" s="1499"/>
    </row>
    <row r="162" spans="1:35" ht="12.75" customHeight="1" x14ac:dyDescent="0.2">
      <c r="A162" s="1493"/>
      <c r="B162" s="1285" t="s">
        <v>11</v>
      </c>
      <c r="C162" s="1286" t="s">
        <v>153</v>
      </c>
      <c r="D162" s="1287" t="s">
        <v>279</v>
      </c>
      <c r="E162" s="1287" t="s">
        <v>155</v>
      </c>
      <c r="F162" s="1287" t="s">
        <v>190</v>
      </c>
      <c r="G162" s="1287" t="s">
        <v>191</v>
      </c>
      <c r="H162" s="1287" t="s">
        <v>192</v>
      </c>
      <c r="I162" s="1287" t="s">
        <v>193</v>
      </c>
      <c r="J162" s="1287" t="s">
        <v>156</v>
      </c>
      <c r="K162" s="1287" t="s">
        <v>157</v>
      </c>
      <c r="L162" s="1287" t="s">
        <v>158</v>
      </c>
      <c r="M162" s="1287" t="s">
        <v>189</v>
      </c>
      <c r="N162" s="1288" t="s">
        <v>125</v>
      </c>
      <c r="O162" s="1289" t="s">
        <v>163</v>
      </c>
      <c r="P162" s="1290" t="s">
        <v>162</v>
      </c>
      <c r="Q162" s="1285" t="s">
        <v>11</v>
      </c>
      <c r="R162" s="1286" t="s">
        <v>153</v>
      </c>
      <c r="S162" s="1287" t="s">
        <v>154</v>
      </c>
      <c r="T162" s="1287" t="s">
        <v>155</v>
      </c>
      <c r="U162" s="1287" t="s">
        <v>190</v>
      </c>
      <c r="V162" s="1287" t="s">
        <v>191</v>
      </c>
      <c r="W162" s="1287" t="s">
        <v>192</v>
      </c>
      <c r="X162" s="1287" t="s">
        <v>193</v>
      </c>
      <c r="Y162" s="1287" t="s">
        <v>156</v>
      </c>
      <c r="Z162" s="1287" t="s">
        <v>157</v>
      </c>
      <c r="AA162" s="1287" t="s">
        <v>158</v>
      </c>
      <c r="AB162" s="1287" t="s">
        <v>189</v>
      </c>
      <c r="AC162" s="1288" t="s">
        <v>125</v>
      </c>
      <c r="AD162" s="1289" t="s">
        <v>163</v>
      </c>
      <c r="AE162" s="1290" t="s">
        <v>352</v>
      </c>
      <c r="AF162" s="1500" t="s">
        <v>167</v>
      </c>
      <c r="AG162" s="1502" t="s">
        <v>166</v>
      </c>
      <c r="AH162" s="1289" t="s">
        <v>11</v>
      </c>
      <c r="AI162" s="1290" t="s">
        <v>353</v>
      </c>
    </row>
    <row r="163" spans="1:35" ht="12.75" thickBot="1" x14ac:dyDescent="0.25">
      <c r="A163" s="1494"/>
      <c r="B163" s="1291" t="s">
        <v>51</v>
      </c>
      <c r="C163" s="1292" t="s">
        <v>52</v>
      </c>
      <c r="D163" s="1293" t="s">
        <v>53</v>
      </c>
      <c r="E163" s="1293" t="s">
        <v>54</v>
      </c>
      <c r="F163" s="1294" t="s">
        <v>55</v>
      </c>
      <c r="G163" s="1294" t="s">
        <v>56</v>
      </c>
      <c r="H163" s="1294" t="s">
        <v>86</v>
      </c>
      <c r="I163" s="1294" t="s">
        <v>124</v>
      </c>
      <c r="J163" s="1294" t="s">
        <v>161</v>
      </c>
      <c r="K163" s="1294" t="s">
        <v>165</v>
      </c>
      <c r="L163" s="1294" t="s">
        <v>198</v>
      </c>
      <c r="M163" s="1294" t="s">
        <v>199</v>
      </c>
      <c r="N163" s="1295" t="s">
        <v>201</v>
      </c>
      <c r="O163" s="1296" t="s">
        <v>202</v>
      </c>
      <c r="P163" s="1297" t="s">
        <v>203</v>
      </c>
      <c r="Q163" s="1291" t="s">
        <v>51</v>
      </c>
      <c r="R163" s="1292" t="s">
        <v>52</v>
      </c>
      <c r="S163" s="1293" t="s">
        <v>53</v>
      </c>
      <c r="T163" s="1293" t="s">
        <v>54</v>
      </c>
      <c r="U163" s="1294" t="s">
        <v>55</v>
      </c>
      <c r="V163" s="1294" t="s">
        <v>56</v>
      </c>
      <c r="W163" s="1294" t="s">
        <v>86</v>
      </c>
      <c r="X163" s="1294" t="s">
        <v>124</v>
      </c>
      <c r="Y163" s="1294" t="s">
        <v>161</v>
      </c>
      <c r="Z163" s="1294" t="s">
        <v>165</v>
      </c>
      <c r="AA163" s="1294" t="s">
        <v>198</v>
      </c>
      <c r="AB163" s="1294" t="s">
        <v>199</v>
      </c>
      <c r="AC163" s="1295" t="s">
        <v>201</v>
      </c>
      <c r="AD163" s="1296" t="s">
        <v>202</v>
      </c>
      <c r="AE163" s="1297" t="s">
        <v>203</v>
      </c>
      <c r="AF163" s="1501"/>
      <c r="AG163" s="1503"/>
      <c r="AH163" s="1298"/>
      <c r="AI163" s="1299"/>
    </row>
    <row r="164" spans="1:35" x14ac:dyDescent="0.2">
      <c r="A164" s="1300"/>
      <c r="B164" s="1301"/>
      <c r="C164" s="1302"/>
      <c r="D164" s="1302"/>
      <c r="E164" s="1302"/>
      <c r="F164" s="1302"/>
      <c r="G164" s="1302"/>
      <c r="H164" s="1302"/>
      <c r="I164" s="1302"/>
      <c r="J164" s="1302"/>
      <c r="K164" s="1302"/>
      <c r="L164" s="1302"/>
      <c r="M164" s="1302"/>
      <c r="N164" s="1275"/>
      <c r="O164" s="1303"/>
      <c r="P164" s="1304"/>
      <c r="Q164" s="1305"/>
      <c r="R164" s="1302"/>
      <c r="S164" s="1302"/>
      <c r="T164" s="1302"/>
      <c r="U164" s="1302"/>
      <c r="V164" s="1302"/>
      <c r="W164" s="1302"/>
      <c r="X164" s="1302"/>
      <c r="Y164" s="1302"/>
      <c r="Z164" s="1302"/>
      <c r="AA164" s="1302"/>
      <c r="AB164" s="1302"/>
      <c r="AC164" s="1275"/>
      <c r="AD164" s="1303"/>
      <c r="AE164" s="1304"/>
      <c r="AF164" s="1306"/>
      <c r="AG164" s="1307"/>
      <c r="AH164" s="1303"/>
      <c r="AI164" s="1308"/>
    </row>
    <row r="165" spans="1:35" x14ac:dyDescent="0.2">
      <c r="A165" s="1305" t="s">
        <v>57</v>
      </c>
      <c r="B165" s="1301"/>
      <c r="C165" s="1302"/>
      <c r="D165" s="1302"/>
      <c r="E165" s="1302"/>
      <c r="F165" s="1302"/>
      <c r="G165" s="1302"/>
      <c r="H165" s="1302"/>
      <c r="I165" s="1302"/>
      <c r="J165" s="1302"/>
      <c r="K165" s="1302"/>
      <c r="L165" s="1302"/>
      <c r="M165" s="1302"/>
      <c r="N165" s="1275"/>
      <c r="O165" s="1303"/>
      <c r="P165" s="1304"/>
      <c r="Q165" s="1305"/>
      <c r="R165" s="1302"/>
      <c r="S165" s="1302"/>
      <c r="T165" s="1302"/>
      <c r="U165" s="1302"/>
      <c r="V165" s="1302"/>
      <c r="W165" s="1302"/>
      <c r="X165" s="1302"/>
      <c r="Y165" s="1302"/>
      <c r="Z165" s="1302"/>
      <c r="AA165" s="1302"/>
      <c r="AB165" s="1302"/>
      <c r="AC165" s="1275"/>
      <c r="AD165" s="1303"/>
      <c r="AE165" s="1304"/>
      <c r="AF165" s="1306"/>
      <c r="AG165" s="1307"/>
      <c r="AH165" s="1303"/>
      <c r="AI165" s="1304"/>
    </row>
    <row r="166" spans="1:35" x14ac:dyDescent="0.2">
      <c r="A166" s="1305" t="s">
        <v>4265</v>
      </c>
      <c r="B166" s="1301"/>
      <c r="C166" s="1302"/>
      <c r="D166" s="1302"/>
      <c r="E166" s="1302"/>
      <c r="F166" s="1302"/>
      <c r="G166" s="1302"/>
      <c r="H166" s="1302"/>
      <c r="I166" s="1302"/>
      <c r="J166" s="1302"/>
      <c r="K166" s="1302"/>
      <c r="L166" s="1302"/>
      <c r="M166" s="1302"/>
      <c r="N166" s="1275"/>
      <c r="O166" s="1303">
        <f>(K166*12)+(N166)</f>
        <v>0</v>
      </c>
      <c r="P166" s="1304">
        <f>B166*O166</f>
        <v>0</v>
      </c>
      <c r="Q166" s="1305"/>
      <c r="R166" s="1302"/>
      <c r="S166" s="1302"/>
      <c r="T166" s="1302"/>
      <c r="U166" s="1302"/>
      <c r="V166" s="1302"/>
      <c r="W166" s="1302"/>
      <c r="X166" s="1302"/>
      <c r="Y166" s="1302"/>
      <c r="Z166" s="1302"/>
      <c r="AA166" s="1302"/>
      <c r="AB166" s="1302"/>
      <c r="AC166" s="1275"/>
      <c r="AD166" s="1303"/>
      <c r="AE166" s="1304"/>
      <c r="AF166" s="1306"/>
      <c r="AG166" s="1307"/>
      <c r="AH166" s="1303"/>
      <c r="AI166" s="1304"/>
    </row>
    <row r="167" spans="1:35" x14ac:dyDescent="0.2">
      <c r="A167" s="1305" t="s">
        <v>1405</v>
      </c>
      <c r="B167" s="1301">
        <v>2</v>
      </c>
      <c r="C167" s="1309">
        <v>1063</v>
      </c>
      <c r="D167" s="1309">
        <v>1100</v>
      </c>
      <c r="E167" s="1309"/>
      <c r="F167" s="1309"/>
      <c r="G167" s="1309"/>
      <c r="H167" s="1309"/>
      <c r="I167" s="1309"/>
      <c r="J167" s="1309"/>
      <c r="K167" s="1309">
        <f>SUM(C167:J167)</f>
        <v>2163</v>
      </c>
      <c r="L167" s="1309">
        <v>1000</v>
      </c>
      <c r="M167" s="1309">
        <v>521</v>
      </c>
      <c r="N167" s="1310">
        <f>SUM(L167:M167)</f>
        <v>1521</v>
      </c>
      <c r="O167" s="1311">
        <f>(K167*12)+(N167)</f>
        <v>27477</v>
      </c>
      <c r="P167" s="1312">
        <f>B167*O167</f>
        <v>54954</v>
      </c>
      <c r="Q167" s="1305">
        <v>2</v>
      </c>
      <c r="R167" s="1309">
        <v>1063</v>
      </c>
      <c r="S167" s="1309">
        <v>1110</v>
      </c>
      <c r="T167" s="1309"/>
      <c r="U167" s="1309"/>
      <c r="V167" s="1309"/>
      <c r="W167" s="1309"/>
      <c r="X167" s="1309"/>
      <c r="Y167" s="1309"/>
      <c r="Z167" s="1309">
        <f>SUM(R167:Y167)</f>
        <v>2173</v>
      </c>
      <c r="AA167" s="1309">
        <v>1000</v>
      </c>
      <c r="AB167" s="1309">
        <v>521</v>
      </c>
      <c r="AC167" s="1310">
        <f>SUM(AA167:AB167)</f>
        <v>1521</v>
      </c>
      <c r="AD167" s="1311">
        <f>(Z167*12)+(AC167)</f>
        <v>27597</v>
      </c>
      <c r="AE167" s="1312">
        <f>Q167*AD167</f>
        <v>55194</v>
      </c>
      <c r="AF167" s="1311">
        <f>Q167-B167</f>
        <v>0</v>
      </c>
      <c r="AG167" s="1312">
        <f>AE167-P167</f>
        <v>240</v>
      </c>
      <c r="AH167" s="1303">
        <v>2</v>
      </c>
      <c r="AI167" s="1312">
        <v>55194</v>
      </c>
    </row>
    <row r="168" spans="1:35" x14ac:dyDescent="0.2">
      <c r="A168" s="1305" t="s">
        <v>16</v>
      </c>
      <c r="B168" s="1301">
        <v>1</v>
      </c>
      <c r="C168" s="1309">
        <v>1043</v>
      </c>
      <c r="D168" s="1309">
        <v>1100</v>
      </c>
      <c r="E168" s="1309"/>
      <c r="F168" s="1309"/>
      <c r="G168" s="1309"/>
      <c r="H168" s="1309"/>
      <c r="I168" s="1309"/>
      <c r="J168" s="1309"/>
      <c r="K168" s="1309">
        <f>SUM(C168:J168)</f>
        <v>2143</v>
      </c>
      <c r="L168" s="1309">
        <v>1000</v>
      </c>
      <c r="M168" s="1309">
        <v>521</v>
      </c>
      <c r="N168" s="1310">
        <f>SUM(L168:M168)</f>
        <v>1521</v>
      </c>
      <c r="O168" s="1311">
        <f>(K168*12)+(N168)</f>
        <v>27237</v>
      </c>
      <c r="P168" s="1312">
        <f>B168*O168</f>
        <v>27237</v>
      </c>
      <c r="Q168" s="1305">
        <v>1</v>
      </c>
      <c r="R168" s="1309">
        <v>1043</v>
      </c>
      <c r="S168" s="1309">
        <v>1110</v>
      </c>
      <c r="T168" s="1309"/>
      <c r="U168" s="1309"/>
      <c r="V168" s="1309"/>
      <c r="W168" s="1309"/>
      <c r="X168" s="1309"/>
      <c r="Y168" s="1309"/>
      <c r="Z168" s="1309">
        <f>SUM(R168:Y168)</f>
        <v>2153</v>
      </c>
      <c r="AA168" s="1309">
        <v>1000</v>
      </c>
      <c r="AB168" s="1309">
        <v>521</v>
      </c>
      <c r="AC168" s="1310">
        <f>SUM(AA168:AB168)</f>
        <v>1521</v>
      </c>
      <c r="AD168" s="1311">
        <f>(Z168*12)+(AC168)</f>
        <v>27357</v>
      </c>
      <c r="AE168" s="1312">
        <f>Q168*AD168</f>
        <v>27357</v>
      </c>
      <c r="AF168" s="1311">
        <f>Q168-B168</f>
        <v>0</v>
      </c>
      <c r="AG168" s="1312">
        <f>AE168-P168</f>
        <v>120</v>
      </c>
      <c r="AH168" s="1303">
        <v>1</v>
      </c>
      <c r="AI168" s="1312">
        <v>26836</v>
      </c>
    </row>
    <row r="169" spans="1:35" x14ac:dyDescent="0.2">
      <c r="A169" s="1305"/>
      <c r="B169" s="1301"/>
      <c r="C169" s="1309"/>
      <c r="D169" s="1309"/>
      <c r="E169" s="1309"/>
      <c r="F169" s="1309"/>
      <c r="G169" s="1309"/>
      <c r="H169" s="1309"/>
      <c r="I169" s="1309"/>
      <c r="J169" s="1309"/>
      <c r="K169" s="1309"/>
      <c r="L169" s="1309"/>
      <c r="M169" s="1309"/>
      <c r="N169" s="1310"/>
      <c r="O169" s="1311"/>
      <c r="P169" s="1312"/>
      <c r="Q169" s="1305"/>
      <c r="R169" s="1309"/>
      <c r="S169" s="1309"/>
      <c r="T169" s="1309"/>
      <c r="U169" s="1309"/>
      <c r="V169" s="1309"/>
      <c r="W169" s="1309"/>
      <c r="X169" s="1309"/>
      <c r="Y169" s="1309"/>
      <c r="Z169" s="1309"/>
      <c r="AA169" s="1309"/>
      <c r="AB169" s="1309"/>
      <c r="AC169" s="1310"/>
      <c r="AD169" s="1311"/>
      <c r="AE169" s="1312"/>
      <c r="AF169" s="1311"/>
      <c r="AG169" s="1312"/>
      <c r="AH169" s="1303"/>
      <c r="AI169" s="1312"/>
    </row>
    <row r="170" spans="1:35" x14ac:dyDescent="0.2">
      <c r="A170" s="1305" t="s">
        <v>4266</v>
      </c>
      <c r="B170" s="1301"/>
      <c r="C170" s="1309"/>
      <c r="D170" s="1309"/>
      <c r="E170" s="1309"/>
      <c r="F170" s="1309"/>
      <c r="G170" s="1309"/>
      <c r="H170" s="1309"/>
      <c r="I170" s="1309"/>
      <c r="J170" s="1309"/>
      <c r="K170" s="1313"/>
      <c r="L170" s="1313"/>
      <c r="M170" s="1309"/>
      <c r="N170" s="1314"/>
      <c r="O170" s="1315"/>
      <c r="P170" s="1316"/>
      <c r="Q170" s="1317"/>
      <c r="R170" s="1313"/>
      <c r="S170" s="1313"/>
      <c r="T170" s="1313"/>
      <c r="U170" s="1313"/>
      <c r="V170" s="1313"/>
      <c r="W170" s="1313"/>
      <c r="X170" s="1313"/>
      <c r="Y170" s="1313"/>
      <c r="Z170" s="1313"/>
      <c r="AA170" s="1313"/>
      <c r="AB170" s="1313"/>
      <c r="AC170" s="1314"/>
      <c r="AD170" s="1315"/>
      <c r="AE170" s="1316"/>
      <c r="AF170" s="1315"/>
      <c r="AG170" s="1316"/>
      <c r="AH170" s="1318"/>
      <c r="AI170" s="1316"/>
    </row>
    <row r="171" spans="1:35" x14ac:dyDescent="0.2">
      <c r="A171" s="1305" t="s">
        <v>17</v>
      </c>
      <c r="B171" s="1301">
        <v>51</v>
      </c>
      <c r="C171" s="1309">
        <v>970</v>
      </c>
      <c r="D171" s="1309">
        <v>950</v>
      </c>
      <c r="E171" s="1309"/>
      <c r="F171" s="1309"/>
      <c r="G171" s="1309"/>
      <c r="H171" s="1309"/>
      <c r="I171" s="1309"/>
      <c r="J171" s="1309"/>
      <c r="K171" s="1309">
        <f>SUM(C171:J171)</f>
        <v>1920</v>
      </c>
      <c r="L171" s="1309">
        <v>1000</v>
      </c>
      <c r="M171" s="1309">
        <v>521</v>
      </c>
      <c r="N171" s="1310">
        <f>SUM(L171:M171)</f>
        <v>1521</v>
      </c>
      <c r="O171" s="1311">
        <f>(K171*12)+(N171)</f>
        <v>24561</v>
      </c>
      <c r="P171" s="1312">
        <f>B171*O171</f>
        <v>1252611</v>
      </c>
      <c r="Q171" s="1305">
        <v>51</v>
      </c>
      <c r="R171" s="1309">
        <v>970</v>
      </c>
      <c r="S171" s="1309">
        <v>1070</v>
      </c>
      <c r="T171" s="1309"/>
      <c r="U171" s="1309"/>
      <c r="V171" s="1309"/>
      <c r="W171" s="1309"/>
      <c r="X171" s="1309"/>
      <c r="Y171" s="1309"/>
      <c r="Z171" s="1309">
        <f>SUM(R171:Y171)</f>
        <v>2040</v>
      </c>
      <c r="AA171" s="1309">
        <v>1000</v>
      </c>
      <c r="AB171" s="1309">
        <v>521</v>
      </c>
      <c r="AC171" s="1310">
        <f>SUM(AA171:AB171)</f>
        <v>1521</v>
      </c>
      <c r="AD171" s="1311">
        <f>(Z171*12)+(AC171)</f>
        <v>26001</v>
      </c>
      <c r="AE171" s="1312">
        <f>Q171*AD171</f>
        <v>1326051</v>
      </c>
      <c r="AF171" s="1311">
        <f>Q171-B171</f>
        <v>0</v>
      </c>
      <c r="AG171" s="1312">
        <f>AE171-P171</f>
        <v>73440</v>
      </c>
      <c r="AH171" s="1303">
        <v>51</v>
      </c>
      <c r="AI171" s="1312">
        <v>1434120</v>
      </c>
    </row>
    <row r="172" spans="1:35" x14ac:dyDescent="0.2">
      <c r="A172" s="1305" t="s">
        <v>18</v>
      </c>
      <c r="B172" s="1301">
        <v>6</v>
      </c>
      <c r="C172" s="1309">
        <v>946</v>
      </c>
      <c r="D172" s="1309">
        <v>950</v>
      </c>
      <c r="E172" s="1309"/>
      <c r="F172" s="1309"/>
      <c r="G172" s="1309"/>
      <c r="H172" s="1309"/>
      <c r="I172" s="1309"/>
      <c r="J172" s="1309"/>
      <c r="K172" s="1309">
        <f>SUM(C172:J172)</f>
        <v>1896</v>
      </c>
      <c r="L172" s="1309">
        <v>1000</v>
      </c>
      <c r="M172" s="1309">
        <v>521</v>
      </c>
      <c r="N172" s="1310">
        <f>SUM(L172:M172)</f>
        <v>1521</v>
      </c>
      <c r="O172" s="1311">
        <f>(K172*12)+(N172)</f>
        <v>24273</v>
      </c>
      <c r="P172" s="1312">
        <f>B172*O172</f>
        <v>145638</v>
      </c>
      <c r="Q172" s="1305">
        <v>6</v>
      </c>
      <c r="R172" s="1309">
        <v>946</v>
      </c>
      <c r="S172" s="1309">
        <v>1070</v>
      </c>
      <c r="T172" s="1309"/>
      <c r="U172" s="1309"/>
      <c r="V172" s="1309"/>
      <c r="W172" s="1309"/>
      <c r="X172" s="1309"/>
      <c r="Y172" s="1309"/>
      <c r="Z172" s="1309">
        <f>SUM(R172:Y172)</f>
        <v>2016</v>
      </c>
      <c r="AA172" s="1309">
        <v>1000</v>
      </c>
      <c r="AB172" s="1309">
        <v>521</v>
      </c>
      <c r="AC172" s="1310">
        <f>SUM(AA172:AB172)</f>
        <v>1521</v>
      </c>
      <c r="AD172" s="1311">
        <f>(Z172*12)+(AC172)</f>
        <v>25713</v>
      </c>
      <c r="AE172" s="1312">
        <f>Q172*AD172</f>
        <v>154278</v>
      </c>
      <c r="AF172" s="1311">
        <f>Q172-B172</f>
        <v>0</v>
      </c>
      <c r="AG172" s="1312">
        <f>AE172-P172</f>
        <v>8640</v>
      </c>
      <c r="AH172" s="1303">
        <v>6</v>
      </c>
      <c r="AI172" s="1312">
        <v>160000</v>
      </c>
    </row>
    <row r="173" spans="1:35" x14ac:dyDescent="0.2">
      <c r="A173" s="1305"/>
      <c r="B173" s="1301"/>
      <c r="C173" s="1309"/>
      <c r="D173" s="1309"/>
      <c r="E173" s="1309"/>
      <c r="F173" s="1309"/>
      <c r="G173" s="1309"/>
      <c r="H173" s="1309"/>
      <c r="I173" s="1309"/>
      <c r="J173" s="1309"/>
      <c r="K173" s="1309"/>
      <c r="L173" s="1309"/>
      <c r="M173" s="1309"/>
      <c r="N173" s="1310"/>
      <c r="O173" s="1311"/>
      <c r="P173" s="1312"/>
      <c r="Q173" s="1305"/>
      <c r="R173" s="1309"/>
      <c r="S173" s="1309"/>
      <c r="T173" s="1309"/>
      <c r="U173" s="1309"/>
      <c r="V173" s="1309"/>
      <c r="W173" s="1309"/>
      <c r="X173" s="1309"/>
      <c r="Y173" s="1309"/>
      <c r="Z173" s="1309"/>
      <c r="AA173" s="1309"/>
      <c r="AB173" s="1309"/>
      <c r="AC173" s="1310"/>
      <c r="AD173" s="1311"/>
      <c r="AE173" s="1312"/>
      <c r="AF173" s="1311"/>
      <c r="AG173" s="1312"/>
      <c r="AH173" s="1303"/>
      <c r="AI173" s="1312"/>
    </row>
    <row r="174" spans="1:35" x14ac:dyDescent="0.2">
      <c r="A174" s="1305" t="s">
        <v>4267</v>
      </c>
      <c r="B174" s="1301"/>
      <c r="C174" s="1309"/>
      <c r="D174" s="1309"/>
      <c r="E174" s="1309"/>
      <c r="F174" s="1309"/>
      <c r="G174" s="1309"/>
      <c r="H174" s="1309"/>
      <c r="I174" s="1309"/>
      <c r="J174" s="1309"/>
      <c r="K174" s="1309"/>
      <c r="L174" s="1309"/>
      <c r="M174" s="1309"/>
      <c r="N174" s="1310"/>
      <c r="O174" s="1311"/>
      <c r="P174" s="1312"/>
      <c r="Q174" s="1305"/>
      <c r="R174" s="1309"/>
      <c r="S174" s="1309"/>
      <c r="T174" s="1309"/>
      <c r="U174" s="1309"/>
      <c r="V174" s="1309"/>
      <c r="W174" s="1309"/>
      <c r="X174" s="1309"/>
      <c r="Y174" s="1309"/>
      <c r="Z174" s="1309"/>
      <c r="AA174" s="1309"/>
      <c r="AB174" s="1309"/>
      <c r="AC174" s="1310"/>
      <c r="AD174" s="1311"/>
      <c r="AE174" s="1312"/>
      <c r="AF174" s="1311"/>
      <c r="AG174" s="1312"/>
      <c r="AH174" s="1303"/>
      <c r="AI174" s="1312"/>
    </row>
    <row r="175" spans="1:35" x14ac:dyDescent="0.2">
      <c r="A175" s="1305" t="s">
        <v>19</v>
      </c>
      <c r="B175" s="1301">
        <v>17</v>
      </c>
      <c r="C175" s="1309">
        <v>926</v>
      </c>
      <c r="D175" s="1309">
        <v>950</v>
      </c>
      <c r="E175" s="1309"/>
      <c r="F175" s="1309"/>
      <c r="G175" s="1309"/>
      <c r="H175" s="1309"/>
      <c r="I175" s="1309"/>
      <c r="J175" s="1309"/>
      <c r="K175" s="1309">
        <f>SUM(C175:J175)</f>
        <v>1876</v>
      </c>
      <c r="L175" s="1309">
        <v>1000</v>
      </c>
      <c r="M175" s="1309">
        <v>521</v>
      </c>
      <c r="N175" s="1310">
        <f>SUM(L175:M175)</f>
        <v>1521</v>
      </c>
      <c r="O175" s="1311">
        <f>(K175*12)+(N175)</f>
        <v>24033</v>
      </c>
      <c r="P175" s="1312">
        <f>B175*O175</f>
        <v>408561</v>
      </c>
      <c r="Q175" s="1305">
        <v>17</v>
      </c>
      <c r="R175" s="1309">
        <v>926</v>
      </c>
      <c r="S175" s="1309">
        <v>1070</v>
      </c>
      <c r="T175" s="1309"/>
      <c r="U175" s="1309"/>
      <c r="V175" s="1309"/>
      <c r="W175" s="1309"/>
      <c r="X175" s="1309"/>
      <c r="Y175" s="1309"/>
      <c r="Z175" s="1309">
        <f>SUM(R175:Y175)</f>
        <v>1996</v>
      </c>
      <c r="AA175" s="1309">
        <v>1000</v>
      </c>
      <c r="AB175" s="1309">
        <v>521</v>
      </c>
      <c r="AC175" s="1310">
        <f>SUM(AA175:AB175)</f>
        <v>1521</v>
      </c>
      <c r="AD175" s="1311">
        <f>(Z175*12)+(AC175)</f>
        <v>25473</v>
      </c>
      <c r="AE175" s="1312">
        <f>Q175*AD175</f>
        <v>433041</v>
      </c>
      <c r="AF175" s="1311">
        <f>Q175-B175</f>
        <v>0</v>
      </c>
      <c r="AG175" s="1312">
        <f>AE175-P175</f>
        <v>24480</v>
      </c>
      <c r="AH175" s="1303">
        <v>17</v>
      </c>
      <c r="AI175" s="1312">
        <v>460000</v>
      </c>
    </row>
    <row r="176" spans="1:35" x14ac:dyDescent="0.2">
      <c r="A176" s="1305" t="s">
        <v>1441</v>
      </c>
      <c r="B176" s="1301">
        <v>1</v>
      </c>
      <c r="C176" s="1309">
        <v>910</v>
      </c>
      <c r="D176" s="1309">
        <v>950</v>
      </c>
      <c r="E176" s="1309"/>
      <c r="F176" s="1309"/>
      <c r="G176" s="1309"/>
      <c r="H176" s="1309"/>
      <c r="I176" s="1309"/>
      <c r="J176" s="1309"/>
      <c r="K176" s="1309">
        <f>SUM(C176:J176)</f>
        <v>1860</v>
      </c>
      <c r="L176" s="1309">
        <v>1000</v>
      </c>
      <c r="M176" s="1309">
        <v>521</v>
      </c>
      <c r="N176" s="1310">
        <f>SUM(L176:M176)</f>
        <v>1521</v>
      </c>
      <c r="O176" s="1311">
        <f>(K176*12)+(N176)</f>
        <v>23841</v>
      </c>
      <c r="P176" s="1312">
        <f>B176*O176</f>
        <v>23841</v>
      </c>
      <c r="Q176" s="1305">
        <v>1</v>
      </c>
      <c r="R176" s="1309">
        <v>910</v>
      </c>
      <c r="S176" s="1309">
        <v>1070</v>
      </c>
      <c r="T176" s="1309"/>
      <c r="U176" s="1309"/>
      <c r="V176" s="1309"/>
      <c r="W176" s="1309"/>
      <c r="X176" s="1309"/>
      <c r="Y176" s="1309"/>
      <c r="Z176" s="1309">
        <f>SUM(R176:Y176)</f>
        <v>1980</v>
      </c>
      <c r="AA176" s="1309">
        <v>1000</v>
      </c>
      <c r="AB176" s="1309">
        <v>521</v>
      </c>
      <c r="AC176" s="1310">
        <f>SUM(AA176:AB176)</f>
        <v>1521</v>
      </c>
      <c r="AD176" s="1311">
        <f>(Z176*12)+(AC176)</f>
        <v>25281</v>
      </c>
      <c r="AE176" s="1312">
        <f>Q176*AD176</f>
        <v>25281</v>
      </c>
      <c r="AF176" s="1311">
        <f>Q176-B176</f>
        <v>0</v>
      </c>
      <c r="AG176" s="1312">
        <f>AE176-P176</f>
        <v>1440</v>
      </c>
      <c r="AH176" s="1303">
        <v>1</v>
      </c>
      <c r="AI176" s="1312">
        <v>28000</v>
      </c>
    </row>
    <row r="177" spans="1:35" x14ac:dyDescent="0.2">
      <c r="A177" s="1305" t="s">
        <v>20</v>
      </c>
      <c r="B177" s="1301">
        <v>18</v>
      </c>
      <c r="C177" s="1309">
        <v>894</v>
      </c>
      <c r="D177" s="1309">
        <v>950</v>
      </c>
      <c r="E177" s="1309"/>
      <c r="F177" s="1309"/>
      <c r="G177" s="1309"/>
      <c r="H177" s="1309"/>
      <c r="I177" s="1309"/>
      <c r="J177" s="1309"/>
      <c r="K177" s="1309">
        <f>SUM(C177:J177)</f>
        <v>1844</v>
      </c>
      <c r="L177" s="1309">
        <v>1000</v>
      </c>
      <c r="M177" s="1309">
        <v>521</v>
      </c>
      <c r="N177" s="1310">
        <f>SUM(L177:M177)</f>
        <v>1521</v>
      </c>
      <c r="O177" s="1311">
        <f>(K177*12)+(N177)</f>
        <v>23649</v>
      </c>
      <c r="P177" s="1312">
        <f>B177*O177</f>
        <v>425682</v>
      </c>
      <c r="Q177" s="1305">
        <v>18</v>
      </c>
      <c r="R177" s="1309">
        <v>894</v>
      </c>
      <c r="S177" s="1309">
        <v>1070</v>
      </c>
      <c r="T177" s="1309"/>
      <c r="U177" s="1309"/>
      <c r="V177" s="1309"/>
      <c r="W177" s="1309"/>
      <c r="X177" s="1309"/>
      <c r="Y177" s="1309"/>
      <c r="Z177" s="1309">
        <f>SUM(R177:Y177)</f>
        <v>1964</v>
      </c>
      <c r="AA177" s="1309">
        <v>1000</v>
      </c>
      <c r="AB177" s="1309">
        <v>521</v>
      </c>
      <c r="AC177" s="1310">
        <f>SUM(AA177:AB177)</f>
        <v>1521</v>
      </c>
      <c r="AD177" s="1311">
        <f>(Z177*12)+(AC177)</f>
        <v>25089</v>
      </c>
      <c r="AE177" s="1312">
        <f>Q177*AD177</f>
        <v>451602</v>
      </c>
      <c r="AF177" s="1311">
        <f>Q177-B177</f>
        <v>0</v>
      </c>
      <c r="AG177" s="1312">
        <f>AE177-P177</f>
        <v>25920</v>
      </c>
      <c r="AH177" s="1303">
        <v>18</v>
      </c>
      <c r="AI177" s="1312">
        <v>470000</v>
      </c>
    </row>
    <row r="178" spans="1:35" x14ac:dyDescent="0.2">
      <c r="A178" s="1305" t="s">
        <v>58</v>
      </c>
      <c r="B178" s="1301"/>
      <c r="C178" s="1309"/>
      <c r="D178" s="1309"/>
      <c r="E178" s="1309"/>
      <c r="F178" s="1309"/>
      <c r="G178" s="1309"/>
      <c r="H178" s="1309"/>
      <c r="I178" s="1309"/>
      <c r="J178" s="1309"/>
      <c r="K178" s="1309"/>
      <c r="L178" s="1309"/>
      <c r="M178" s="1309"/>
      <c r="N178" s="1310"/>
      <c r="O178" s="1311"/>
      <c r="P178" s="1312"/>
      <c r="Q178" s="1305"/>
      <c r="R178" s="1309"/>
      <c r="S178" s="1309"/>
      <c r="T178" s="1309"/>
      <c r="U178" s="1309"/>
      <c r="V178" s="1309"/>
      <c r="W178" s="1309"/>
      <c r="X178" s="1309"/>
      <c r="Y178" s="1309"/>
      <c r="Z178" s="1309"/>
      <c r="AA178" s="1309"/>
      <c r="AB178" s="1309"/>
      <c r="AC178" s="1310"/>
      <c r="AD178" s="1311"/>
      <c r="AE178" s="1312"/>
      <c r="AF178" s="1311"/>
      <c r="AG178" s="1312"/>
      <c r="AH178" s="1303"/>
      <c r="AI178" s="1312"/>
    </row>
    <row r="179" spans="1:35" x14ac:dyDescent="0.2">
      <c r="A179" s="1305" t="s">
        <v>59</v>
      </c>
      <c r="B179" s="1301"/>
      <c r="C179" s="1309"/>
      <c r="D179" s="1309"/>
      <c r="E179" s="1309"/>
      <c r="F179" s="1309"/>
      <c r="G179" s="1309"/>
      <c r="H179" s="1309"/>
      <c r="I179" s="1309"/>
      <c r="J179" s="1309"/>
      <c r="K179" s="1309"/>
      <c r="L179" s="1309"/>
      <c r="M179" s="1309"/>
      <c r="N179" s="1310"/>
      <c r="O179" s="1311"/>
      <c r="P179" s="1312"/>
      <c r="Q179" s="1305"/>
      <c r="R179" s="1309"/>
      <c r="S179" s="1309"/>
      <c r="T179" s="1309"/>
      <c r="U179" s="1309"/>
      <c r="V179" s="1309"/>
      <c r="W179" s="1309"/>
      <c r="X179" s="1309"/>
      <c r="Y179" s="1309"/>
      <c r="Z179" s="1309"/>
      <c r="AA179" s="1309"/>
      <c r="AB179" s="1309"/>
      <c r="AC179" s="1310"/>
      <c r="AD179" s="1311"/>
      <c r="AE179" s="1312"/>
      <c r="AF179" s="1311"/>
      <c r="AG179" s="1312"/>
      <c r="AH179" s="1303"/>
      <c r="AI179" s="1312"/>
    </row>
    <row r="180" spans="1:35" x14ac:dyDescent="0.2">
      <c r="A180" s="1305" t="s">
        <v>58</v>
      </c>
      <c r="B180" s="1301"/>
      <c r="C180" s="1309"/>
      <c r="D180" s="1309"/>
      <c r="E180" s="1309"/>
      <c r="F180" s="1309"/>
      <c r="G180" s="1309"/>
      <c r="H180" s="1309"/>
      <c r="I180" s="1309"/>
      <c r="J180" s="1309"/>
      <c r="K180" s="1309"/>
      <c r="L180" s="1309"/>
      <c r="M180" s="1309"/>
      <c r="N180" s="1310"/>
      <c r="O180" s="1311"/>
      <c r="P180" s="1312"/>
      <c r="Q180" s="1305"/>
      <c r="R180" s="1309"/>
      <c r="S180" s="1309"/>
      <c r="T180" s="1309"/>
      <c r="U180" s="1309"/>
      <c r="V180" s="1309"/>
      <c r="W180" s="1309"/>
      <c r="X180" s="1309"/>
      <c r="Y180" s="1309"/>
      <c r="Z180" s="1309"/>
      <c r="AA180" s="1309"/>
      <c r="AB180" s="1309"/>
      <c r="AC180" s="1310"/>
      <c r="AD180" s="1311"/>
      <c r="AE180" s="1312"/>
      <c r="AF180" s="1311"/>
      <c r="AG180" s="1312"/>
      <c r="AH180" s="1303"/>
      <c r="AI180" s="1312"/>
    </row>
    <row r="181" spans="1:35" x14ac:dyDescent="0.2">
      <c r="A181" s="1305"/>
      <c r="B181" s="1301"/>
      <c r="C181" s="1309"/>
      <c r="D181" s="1309"/>
      <c r="E181" s="1309"/>
      <c r="F181" s="1309"/>
      <c r="G181" s="1309"/>
      <c r="H181" s="1309"/>
      <c r="I181" s="1309"/>
      <c r="J181" s="1309"/>
      <c r="K181" s="1309"/>
      <c r="L181" s="1309"/>
      <c r="M181" s="1309"/>
      <c r="N181" s="1310"/>
      <c r="O181" s="1311"/>
      <c r="P181" s="1312"/>
      <c r="Q181" s="1305"/>
      <c r="R181" s="1309"/>
      <c r="S181" s="1309"/>
      <c r="T181" s="1309"/>
      <c r="U181" s="1309"/>
      <c r="V181" s="1309"/>
      <c r="W181" s="1309"/>
      <c r="X181" s="1309"/>
      <c r="Y181" s="1309"/>
      <c r="Z181" s="1309"/>
      <c r="AA181" s="1309"/>
      <c r="AB181" s="1309"/>
      <c r="AC181" s="1310"/>
      <c r="AD181" s="1311"/>
      <c r="AE181" s="1312"/>
      <c r="AF181" s="1311"/>
      <c r="AG181" s="1312"/>
      <c r="AH181" s="1303"/>
      <c r="AI181" s="1312"/>
    </row>
    <row r="182" spans="1:35" x14ac:dyDescent="0.2">
      <c r="A182" s="1305" t="s">
        <v>60</v>
      </c>
      <c r="B182" s="1301"/>
      <c r="C182" s="1309"/>
      <c r="D182" s="1309"/>
      <c r="E182" s="1309"/>
      <c r="F182" s="1309"/>
      <c r="G182" s="1309"/>
      <c r="H182" s="1309"/>
      <c r="I182" s="1309"/>
      <c r="J182" s="1309"/>
      <c r="K182" s="1309"/>
      <c r="L182" s="1309"/>
      <c r="M182" s="1309"/>
      <c r="N182" s="1310"/>
      <c r="O182" s="1311"/>
      <c r="P182" s="1312"/>
      <c r="Q182" s="1305"/>
      <c r="R182" s="1309"/>
      <c r="S182" s="1309"/>
      <c r="T182" s="1309"/>
      <c r="U182" s="1309"/>
      <c r="V182" s="1309"/>
      <c r="W182" s="1309"/>
      <c r="X182" s="1309"/>
      <c r="Y182" s="1309"/>
      <c r="Z182" s="1309"/>
      <c r="AA182" s="1309"/>
      <c r="AB182" s="1309"/>
      <c r="AC182" s="1310"/>
      <c r="AD182" s="1311"/>
      <c r="AE182" s="1312"/>
      <c r="AF182" s="1311"/>
      <c r="AG182" s="1312"/>
      <c r="AH182" s="1303"/>
      <c r="AI182" s="1312"/>
    </row>
    <row r="183" spans="1:35" x14ac:dyDescent="0.2">
      <c r="A183" s="1305" t="s">
        <v>4268</v>
      </c>
      <c r="B183" s="1301">
        <v>0</v>
      </c>
      <c r="C183" s="1309">
        <v>0</v>
      </c>
      <c r="D183" s="1309"/>
      <c r="E183" s="1309"/>
      <c r="F183" s="1309"/>
      <c r="G183" s="1309"/>
      <c r="H183" s="1309"/>
      <c r="I183" s="1309"/>
      <c r="J183" s="1309"/>
      <c r="K183" s="1309">
        <f t="shared" ref="K183:K193" si="0">SUM(C183:J183)</f>
        <v>0</v>
      </c>
      <c r="L183" s="1309">
        <v>0</v>
      </c>
      <c r="M183" s="1309"/>
      <c r="N183" s="1310">
        <f t="shared" ref="N183:N193" si="1">SUM(L183:M183)</f>
        <v>0</v>
      </c>
      <c r="O183" s="1311">
        <f>(K183*12)+(N183)</f>
        <v>0</v>
      </c>
      <c r="P183" s="1312">
        <f t="shared" ref="P183:P193" si="2">B183*O183</f>
        <v>0</v>
      </c>
      <c r="Q183" s="1305">
        <v>1</v>
      </c>
      <c r="R183" s="1309">
        <v>5100</v>
      </c>
      <c r="S183" s="1309"/>
      <c r="T183" s="1309"/>
      <c r="U183" s="1309"/>
      <c r="V183" s="1309"/>
      <c r="W183" s="1309"/>
      <c r="X183" s="1309"/>
      <c r="Y183" s="1309"/>
      <c r="Z183" s="1309">
        <f t="shared" ref="Z183:Z193" si="3">SUM(R183:Y183)</f>
        <v>5100</v>
      </c>
      <c r="AA183" s="1309">
        <v>1000</v>
      </c>
      <c r="AB183" s="1309">
        <v>0</v>
      </c>
      <c r="AC183" s="1310">
        <f t="shared" ref="AC183:AC193" si="4">SUM(AA183:AB183)</f>
        <v>1000</v>
      </c>
      <c r="AD183" s="1311">
        <f t="shared" ref="AD183:AD193" si="5">(Z183*12)+(AC183)</f>
        <v>62200</v>
      </c>
      <c r="AE183" s="1312">
        <f t="shared" ref="AE183:AE193" si="6">Q183*AD183</f>
        <v>62200</v>
      </c>
      <c r="AF183" s="1311">
        <f t="shared" ref="AF183:AF193" si="7">Q183-B183</f>
        <v>1</v>
      </c>
      <c r="AG183" s="1312">
        <f t="shared" ref="AG183:AG193" si="8">AE183-P183</f>
        <v>62200</v>
      </c>
      <c r="AH183" s="1303">
        <v>1</v>
      </c>
      <c r="AI183" s="1312">
        <v>73752</v>
      </c>
    </row>
    <row r="184" spans="1:35" x14ac:dyDescent="0.2">
      <c r="A184" s="1305" t="s">
        <v>4269</v>
      </c>
      <c r="B184" s="1301">
        <v>1</v>
      </c>
      <c r="C184" s="1309">
        <v>3560</v>
      </c>
      <c r="D184" s="1309"/>
      <c r="E184" s="1309"/>
      <c r="F184" s="1309"/>
      <c r="G184" s="1309"/>
      <c r="H184" s="1309"/>
      <c r="I184" s="1309"/>
      <c r="J184" s="1309"/>
      <c r="K184" s="1309">
        <f t="shared" si="0"/>
        <v>3560</v>
      </c>
      <c r="L184" s="1309">
        <v>1000</v>
      </c>
      <c r="M184" s="1309"/>
      <c r="N184" s="1310">
        <f t="shared" si="1"/>
        <v>1000</v>
      </c>
      <c r="O184" s="1311">
        <f>(K184*12)+(N184)</f>
        <v>43720</v>
      </c>
      <c r="P184" s="1312">
        <f t="shared" si="2"/>
        <v>43720</v>
      </c>
      <c r="Q184" s="1305">
        <v>2</v>
      </c>
      <c r="R184" s="1309">
        <v>3690</v>
      </c>
      <c r="S184" s="1309"/>
      <c r="T184" s="1309"/>
      <c r="U184" s="1309"/>
      <c r="V184" s="1309"/>
      <c r="W184" s="1309"/>
      <c r="X184" s="1309"/>
      <c r="Y184" s="1309"/>
      <c r="Z184" s="1309">
        <f t="shared" si="3"/>
        <v>3690</v>
      </c>
      <c r="AA184" s="1309">
        <v>1000</v>
      </c>
      <c r="AB184" s="1309">
        <v>0</v>
      </c>
      <c r="AC184" s="1310">
        <f t="shared" si="4"/>
        <v>1000</v>
      </c>
      <c r="AD184" s="1311">
        <f t="shared" si="5"/>
        <v>45280</v>
      </c>
      <c r="AE184" s="1312">
        <f t="shared" si="6"/>
        <v>90560</v>
      </c>
      <c r="AF184" s="1311">
        <f t="shared" si="7"/>
        <v>1</v>
      </c>
      <c r="AG184" s="1312">
        <f t="shared" si="8"/>
        <v>46840</v>
      </c>
      <c r="AH184" s="1303">
        <v>2</v>
      </c>
      <c r="AI184" s="1312">
        <v>98810</v>
      </c>
    </row>
    <row r="185" spans="1:35" x14ac:dyDescent="0.2">
      <c r="A185" s="1305" t="s">
        <v>4270</v>
      </c>
      <c r="B185" s="1301">
        <v>1</v>
      </c>
      <c r="C185" s="1309">
        <v>3290</v>
      </c>
      <c r="D185" s="1309"/>
      <c r="E185" s="1309"/>
      <c r="F185" s="1309"/>
      <c r="G185" s="1309"/>
      <c r="H185" s="1309"/>
      <c r="I185" s="1309"/>
      <c r="J185" s="1309"/>
      <c r="K185" s="1309">
        <f t="shared" si="0"/>
        <v>3290</v>
      </c>
      <c r="L185" s="1309">
        <v>1000</v>
      </c>
      <c r="M185" s="1309"/>
      <c r="N185" s="1310">
        <f t="shared" si="1"/>
        <v>1000</v>
      </c>
      <c r="O185" s="1311">
        <f>(K185*12)+(N185)</f>
        <v>40480</v>
      </c>
      <c r="P185" s="1312">
        <f t="shared" si="2"/>
        <v>40480</v>
      </c>
      <c r="Q185" s="1305">
        <v>0</v>
      </c>
      <c r="R185" s="1309">
        <v>0</v>
      </c>
      <c r="S185" s="1309"/>
      <c r="T185" s="1309"/>
      <c r="U185" s="1309"/>
      <c r="V185" s="1309"/>
      <c r="W185" s="1309"/>
      <c r="X185" s="1309"/>
      <c r="Y185" s="1309"/>
      <c r="Z185" s="1309">
        <f t="shared" si="3"/>
        <v>0</v>
      </c>
      <c r="AA185" s="1309"/>
      <c r="AB185" s="1309">
        <v>0</v>
      </c>
      <c r="AC185" s="1310">
        <f t="shared" si="4"/>
        <v>0</v>
      </c>
      <c r="AD185" s="1311">
        <f t="shared" si="5"/>
        <v>0</v>
      </c>
      <c r="AE185" s="1312">
        <f t="shared" si="6"/>
        <v>0</v>
      </c>
      <c r="AF185" s="1311">
        <f t="shared" si="7"/>
        <v>-1</v>
      </c>
      <c r="AG185" s="1312">
        <f t="shared" si="8"/>
        <v>-40480</v>
      </c>
      <c r="AH185" s="1303">
        <v>0</v>
      </c>
      <c r="AI185" s="1312"/>
    </row>
    <row r="186" spans="1:35" x14ac:dyDescent="0.2">
      <c r="A186" s="1305" t="s">
        <v>4271</v>
      </c>
      <c r="B186" s="1301">
        <v>0</v>
      </c>
      <c r="C186" s="1309"/>
      <c r="D186" s="1309"/>
      <c r="E186" s="1309"/>
      <c r="F186" s="1309"/>
      <c r="G186" s="1309"/>
      <c r="H186" s="1309"/>
      <c r="I186" s="1309"/>
      <c r="J186" s="1309"/>
      <c r="K186" s="1309">
        <f t="shared" si="0"/>
        <v>0</v>
      </c>
      <c r="L186" s="1309">
        <v>0</v>
      </c>
      <c r="M186" s="1309"/>
      <c r="N186" s="1310">
        <f t="shared" si="1"/>
        <v>0</v>
      </c>
      <c r="O186" s="1311">
        <v>0</v>
      </c>
      <c r="P186" s="1312">
        <f t="shared" si="2"/>
        <v>0</v>
      </c>
      <c r="Q186" s="1305">
        <v>2</v>
      </c>
      <c r="R186" s="1309">
        <v>3480</v>
      </c>
      <c r="S186" s="1309"/>
      <c r="T186" s="1309"/>
      <c r="U186" s="1309"/>
      <c r="V186" s="1309"/>
      <c r="W186" s="1309"/>
      <c r="X186" s="1309"/>
      <c r="Y186" s="1309"/>
      <c r="Z186" s="1309">
        <f t="shared" si="3"/>
        <v>3480</v>
      </c>
      <c r="AA186" s="1309">
        <v>1000</v>
      </c>
      <c r="AB186" s="1309">
        <v>0</v>
      </c>
      <c r="AC186" s="1310">
        <f t="shared" si="4"/>
        <v>1000</v>
      </c>
      <c r="AD186" s="1311">
        <f t="shared" si="5"/>
        <v>42760</v>
      </c>
      <c r="AE186" s="1312">
        <f t="shared" si="6"/>
        <v>85520</v>
      </c>
      <c r="AF186" s="1311">
        <f t="shared" si="7"/>
        <v>2</v>
      </c>
      <c r="AG186" s="1312">
        <f t="shared" si="8"/>
        <v>85520</v>
      </c>
      <c r="AH186" s="1303">
        <v>2</v>
      </c>
      <c r="AI186" s="1312">
        <v>95490</v>
      </c>
    </row>
    <row r="187" spans="1:35" x14ac:dyDescent="0.2">
      <c r="A187" s="1305" t="s">
        <v>4272</v>
      </c>
      <c r="B187" s="1301">
        <v>2</v>
      </c>
      <c r="C187" s="1309">
        <v>3270</v>
      </c>
      <c r="D187" s="1309"/>
      <c r="E187" s="1309"/>
      <c r="F187" s="1309"/>
      <c r="G187" s="1309"/>
      <c r="H187" s="1309"/>
      <c r="I187" s="1309"/>
      <c r="J187" s="1309"/>
      <c r="K187" s="1309">
        <f t="shared" si="0"/>
        <v>3270</v>
      </c>
      <c r="L187" s="1309">
        <v>1000</v>
      </c>
      <c r="M187" s="1309"/>
      <c r="N187" s="1310">
        <f t="shared" si="1"/>
        <v>1000</v>
      </c>
      <c r="O187" s="1311">
        <f t="shared" ref="O187:O193" si="9">(K187*12)+(N187)</f>
        <v>40240</v>
      </c>
      <c r="P187" s="1312">
        <f t="shared" si="2"/>
        <v>80480</v>
      </c>
      <c r="Q187" s="1305">
        <v>4</v>
      </c>
      <c r="R187" s="1309">
        <v>3340</v>
      </c>
      <c r="S187" s="1309"/>
      <c r="T187" s="1309"/>
      <c r="U187" s="1309"/>
      <c r="V187" s="1309"/>
      <c r="W187" s="1309"/>
      <c r="X187" s="1309"/>
      <c r="Y187" s="1309"/>
      <c r="Z187" s="1309">
        <f t="shared" si="3"/>
        <v>3340</v>
      </c>
      <c r="AA187" s="1309">
        <v>1000</v>
      </c>
      <c r="AB187" s="1309">
        <v>0</v>
      </c>
      <c r="AC187" s="1310">
        <f t="shared" si="4"/>
        <v>1000</v>
      </c>
      <c r="AD187" s="1311">
        <f t="shared" si="5"/>
        <v>41080</v>
      </c>
      <c r="AE187" s="1312">
        <f t="shared" si="6"/>
        <v>164320</v>
      </c>
      <c r="AF187" s="1311">
        <f t="shared" si="7"/>
        <v>2</v>
      </c>
      <c r="AG187" s="1312">
        <f t="shared" si="8"/>
        <v>83840</v>
      </c>
      <c r="AH187" s="1303">
        <v>4</v>
      </c>
      <c r="AI187" s="1312">
        <v>166050</v>
      </c>
    </row>
    <row r="188" spans="1:35" x14ac:dyDescent="0.2">
      <c r="A188" s="1305" t="s">
        <v>4273</v>
      </c>
      <c r="B188" s="1301">
        <v>10</v>
      </c>
      <c r="C188" s="1309">
        <v>2950</v>
      </c>
      <c r="D188" s="1309"/>
      <c r="E188" s="1309"/>
      <c r="F188" s="1309"/>
      <c r="G188" s="1309"/>
      <c r="H188" s="1309"/>
      <c r="I188" s="1309"/>
      <c r="J188" s="1309"/>
      <c r="K188" s="1309">
        <f t="shared" si="0"/>
        <v>2950</v>
      </c>
      <c r="L188" s="1309">
        <v>1000</v>
      </c>
      <c r="M188" s="1309"/>
      <c r="N188" s="1310">
        <f t="shared" si="1"/>
        <v>1000</v>
      </c>
      <c r="O188" s="1311">
        <f t="shared" si="9"/>
        <v>36400</v>
      </c>
      <c r="P188" s="1312">
        <f t="shared" si="2"/>
        <v>364000</v>
      </c>
      <c r="Q188" s="1305">
        <v>11</v>
      </c>
      <c r="R188" s="1309">
        <v>3020</v>
      </c>
      <c r="S188" s="1309"/>
      <c r="T188" s="1309"/>
      <c r="U188" s="1309"/>
      <c r="V188" s="1309"/>
      <c r="W188" s="1309"/>
      <c r="X188" s="1309"/>
      <c r="Y188" s="1309"/>
      <c r="Z188" s="1309">
        <f t="shared" si="3"/>
        <v>3020</v>
      </c>
      <c r="AA188" s="1309">
        <v>1000</v>
      </c>
      <c r="AB188" s="1309">
        <v>0</v>
      </c>
      <c r="AC188" s="1310">
        <f t="shared" si="4"/>
        <v>1000</v>
      </c>
      <c r="AD188" s="1311">
        <f t="shared" si="5"/>
        <v>37240</v>
      </c>
      <c r="AE188" s="1312">
        <f t="shared" si="6"/>
        <v>409640</v>
      </c>
      <c r="AF188" s="1311">
        <f t="shared" si="7"/>
        <v>1</v>
      </c>
      <c r="AG188" s="1312">
        <f t="shared" si="8"/>
        <v>45640</v>
      </c>
      <c r="AH188" s="1303">
        <v>11</v>
      </c>
      <c r="AI188" s="1312">
        <v>425000</v>
      </c>
    </row>
    <row r="189" spans="1:35" x14ac:dyDescent="0.2">
      <c r="A189" s="1305" t="s">
        <v>4274</v>
      </c>
      <c r="B189" s="1301">
        <v>9</v>
      </c>
      <c r="C189" s="1309">
        <v>2630</v>
      </c>
      <c r="D189" s="1309"/>
      <c r="E189" s="1309"/>
      <c r="F189" s="1309"/>
      <c r="G189" s="1309"/>
      <c r="H189" s="1309"/>
      <c r="I189" s="1309"/>
      <c r="J189" s="1309"/>
      <c r="K189" s="1309">
        <f t="shared" si="0"/>
        <v>2630</v>
      </c>
      <c r="L189" s="1309">
        <v>1000</v>
      </c>
      <c r="M189" s="1309"/>
      <c r="N189" s="1310">
        <f t="shared" si="1"/>
        <v>1000</v>
      </c>
      <c r="O189" s="1311">
        <f t="shared" si="9"/>
        <v>32560</v>
      </c>
      <c r="P189" s="1312">
        <f t="shared" si="2"/>
        <v>293040</v>
      </c>
      <c r="Q189" s="1305">
        <v>5</v>
      </c>
      <c r="R189" s="1309">
        <v>2760</v>
      </c>
      <c r="S189" s="1309"/>
      <c r="T189" s="1309"/>
      <c r="U189" s="1309"/>
      <c r="V189" s="1309"/>
      <c r="W189" s="1309"/>
      <c r="X189" s="1309"/>
      <c r="Y189" s="1309"/>
      <c r="Z189" s="1309">
        <f t="shared" si="3"/>
        <v>2760</v>
      </c>
      <c r="AA189" s="1309">
        <v>1000</v>
      </c>
      <c r="AB189" s="1309">
        <v>0</v>
      </c>
      <c r="AC189" s="1310">
        <f t="shared" si="4"/>
        <v>1000</v>
      </c>
      <c r="AD189" s="1311">
        <f t="shared" si="5"/>
        <v>34120</v>
      </c>
      <c r="AE189" s="1312">
        <f t="shared" si="6"/>
        <v>170600</v>
      </c>
      <c r="AF189" s="1311">
        <f t="shared" si="7"/>
        <v>-4</v>
      </c>
      <c r="AG189" s="1312">
        <f t="shared" si="8"/>
        <v>-122440</v>
      </c>
      <c r="AH189" s="1303">
        <v>5</v>
      </c>
      <c r="AI189" s="1312">
        <v>176400</v>
      </c>
    </row>
    <row r="190" spans="1:35" x14ac:dyDescent="0.2">
      <c r="A190" s="1305" t="s">
        <v>4275</v>
      </c>
      <c r="B190" s="1301">
        <v>6</v>
      </c>
      <c r="C190" s="1309">
        <v>2380</v>
      </c>
      <c r="D190" s="1309"/>
      <c r="E190" s="1309"/>
      <c r="F190" s="1309"/>
      <c r="G190" s="1309"/>
      <c r="H190" s="1309"/>
      <c r="I190" s="1309"/>
      <c r="J190" s="1309"/>
      <c r="K190" s="1309">
        <f t="shared" si="0"/>
        <v>2380</v>
      </c>
      <c r="L190" s="1309">
        <v>1000</v>
      </c>
      <c r="M190" s="1309"/>
      <c r="N190" s="1310">
        <f t="shared" si="1"/>
        <v>1000</v>
      </c>
      <c r="O190" s="1311">
        <f t="shared" si="9"/>
        <v>29560</v>
      </c>
      <c r="P190" s="1312">
        <f t="shared" si="2"/>
        <v>177360</v>
      </c>
      <c r="Q190" s="1305">
        <v>8</v>
      </c>
      <c r="R190" s="1309">
        <v>2485</v>
      </c>
      <c r="S190" s="1309"/>
      <c r="T190" s="1309"/>
      <c r="U190" s="1309"/>
      <c r="V190" s="1309"/>
      <c r="W190" s="1309"/>
      <c r="X190" s="1309"/>
      <c r="Y190" s="1309"/>
      <c r="Z190" s="1309">
        <f t="shared" si="3"/>
        <v>2485</v>
      </c>
      <c r="AA190" s="1309">
        <v>1000</v>
      </c>
      <c r="AB190" s="1309">
        <v>0</v>
      </c>
      <c r="AC190" s="1310">
        <f t="shared" si="4"/>
        <v>1000</v>
      </c>
      <c r="AD190" s="1311">
        <f t="shared" si="5"/>
        <v>30820</v>
      </c>
      <c r="AE190" s="1312">
        <f t="shared" si="6"/>
        <v>246560</v>
      </c>
      <c r="AF190" s="1311">
        <f t="shared" si="7"/>
        <v>2</v>
      </c>
      <c r="AG190" s="1312">
        <f t="shared" si="8"/>
        <v>69200</v>
      </c>
      <c r="AH190" s="1303">
        <v>8</v>
      </c>
      <c r="AI190" s="1312">
        <v>256899</v>
      </c>
    </row>
    <row r="191" spans="1:35" x14ac:dyDescent="0.2">
      <c r="A191" s="1305" t="s">
        <v>4276</v>
      </c>
      <c r="B191" s="1301">
        <v>2</v>
      </c>
      <c r="C191" s="1309">
        <v>2890</v>
      </c>
      <c r="D191" s="1309"/>
      <c r="E191" s="1309"/>
      <c r="F191" s="1309"/>
      <c r="G191" s="1309"/>
      <c r="H191" s="1309"/>
      <c r="I191" s="1309"/>
      <c r="J191" s="1309"/>
      <c r="K191" s="1309">
        <f t="shared" si="0"/>
        <v>2890</v>
      </c>
      <c r="L191" s="1309">
        <v>1000</v>
      </c>
      <c r="M191" s="1309"/>
      <c r="N191" s="1310">
        <f t="shared" si="1"/>
        <v>1000</v>
      </c>
      <c r="O191" s="1311">
        <f t="shared" si="9"/>
        <v>35680</v>
      </c>
      <c r="P191" s="1312">
        <f t="shared" si="2"/>
        <v>71360</v>
      </c>
      <c r="Q191" s="1305">
        <v>0</v>
      </c>
      <c r="R191" s="1309">
        <v>0</v>
      </c>
      <c r="S191" s="1309"/>
      <c r="T191" s="1309"/>
      <c r="U191" s="1309"/>
      <c r="V191" s="1309"/>
      <c r="W191" s="1309"/>
      <c r="X191" s="1309"/>
      <c r="Y191" s="1309"/>
      <c r="Z191" s="1309">
        <f t="shared" si="3"/>
        <v>0</v>
      </c>
      <c r="AA191" s="1309">
        <v>0</v>
      </c>
      <c r="AB191" s="1309">
        <v>0</v>
      </c>
      <c r="AC191" s="1310">
        <f t="shared" si="4"/>
        <v>0</v>
      </c>
      <c r="AD191" s="1311">
        <f t="shared" si="5"/>
        <v>0</v>
      </c>
      <c r="AE191" s="1312">
        <f t="shared" si="6"/>
        <v>0</v>
      </c>
      <c r="AF191" s="1311">
        <f t="shared" si="7"/>
        <v>-2</v>
      </c>
      <c r="AG191" s="1312">
        <f t="shared" si="8"/>
        <v>-71360</v>
      </c>
      <c r="AH191" s="1303">
        <v>0</v>
      </c>
      <c r="AI191" s="1312">
        <v>0</v>
      </c>
    </row>
    <row r="192" spans="1:35" x14ac:dyDescent="0.2">
      <c r="A192" s="1305" t="s">
        <v>4277</v>
      </c>
      <c r="B192" s="1301">
        <v>27</v>
      </c>
      <c r="C192" s="1309">
        <v>2230</v>
      </c>
      <c r="D192" s="1309"/>
      <c r="E192" s="1309"/>
      <c r="F192" s="1309"/>
      <c r="G192" s="1309"/>
      <c r="H192" s="1309"/>
      <c r="I192" s="1309"/>
      <c r="J192" s="1309"/>
      <c r="K192" s="1309">
        <f t="shared" si="0"/>
        <v>2230</v>
      </c>
      <c r="L192" s="1309">
        <v>1000</v>
      </c>
      <c r="M192" s="1309"/>
      <c r="N192" s="1310">
        <f t="shared" si="1"/>
        <v>1000</v>
      </c>
      <c r="O192" s="1311">
        <f t="shared" si="9"/>
        <v>27760</v>
      </c>
      <c r="P192" s="1312">
        <f t="shared" si="2"/>
        <v>749520</v>
      </c>
      <c r="Q192" s="1305">
        <v>24</v>
      </c>
      <c r="R192" s="1309">
        <v>2300</v>
      </c>
      <c r="S192" s="1309"/>
      <c r="T192" s="1309"/>
      <c r="U192" s="1309"/>
      <c r="V192" s="1309"/>
      <c r="W192" s="1309"/>
      <c r="X192" s="1309"/>
      <c r="Y192" s="1309"/>
      <c r="Z192" s="1309">
        <f t="shared" si="3"/>
        <v>2300</v>
      </c>
      <c r="AA192" s="1309">
        <v>1000</v>
      </c>
      <c r="AB192" s="1309">
        <v>0</v>
      </c>
      <c r="AC192" s="1310">
        <f t="shared" si="4"/>
        <v>1000</v>
      </c>
      <c r="AD192" s="1311">
        <f t="shared" si="5"/>
        <v>28600</v>
      </c>
      <c r="AE192" s="1312">
        <f t="shared" si="6"/>
        <v>686400</v>
      </c>
      <c r="AF192" s="1311">
        <f t="shared" si="7"/>
        <v>-3</v>
      </c>
      <c r="AG192" s="1312">
        <f t="shared" si="8"/>
        <v>-63120</v>
      </c>
      <c r="AH192" s="1303">
        <v>25</v>
      </c>
      <c r="AI192" s="1312">
        <v>720500</v>
      </c>
    </row>
    <row r="193" spans="1:35" x14ac:dyDescent="0.2">
      <c r="A193" s="1305" t="s">
        <v>4278</v>
      </c>
      <c r="B193" s="1301">
        <v>3</v>
      </c>
      <c r="C193" s="1309">
        <v>1306</v>
      </c>
      <c r="D193" s="1309"/>
      <c r="E193" s="1309"/>
      <c r="F193" s="1309"/>
      <c r="G193" s="1309"/>
      <c r="H193" s="1309"/>
      <c r="I193" s="1309"/>
      <c r="J193" s="1309"/>
      <c r="K193" s="1309">
        <f t="shared" si="0"/>
        <v>1306</v>
      </c>
      <c r="L193" s="1309">
        <v>1000</v>
      </c>
      <c r="M193" s="1309"/>
      <c r="N193" s="1310">
        <f t="shared" si="1"/>
        <v>1000</v>
      </c>
      <c r="O193" s="1311">
        <f t="shared" si="9"/>
        <v>16672</v>
      </c>
      <c r="P193" s="1312">
        <f t="shared" si="2"/>
        <v>50016</v>
      </c>
      <c r="Q193" s="1305">
        <v>3</v>
      </c>
      <c r="R193" s="1309">
        <v>1410</v>
      </c>
      <c r="S193" s="1309"/>
      <c r="T193" s="1309"/>
      <c r="U193" s="1309"/>
      <c r="V193" s="1309"/>
      <c r="W193" s="1309"/>
      <c r="X193" s="1309"/>
      <c r="Y193" s="1309"/>
      <c r="Z193" s="1309">
        <f t="shared" si="3"/>
        <v>1410</v>
      </c>
      <c r="AA193" s="1309">
        <v>1000</v>
      </c>
      <c r="AB193" s="1309">
        <v>0</v>
      </c>
      <c r="AC193" s="1310">
        <f t="shared" si="4"/>
        <v>1000</v>
      </c>
      <c r="AD193" s="1311">
        <f t="shared" si="5"/>
        <v>17920</v>
      </c>
      <c r="AE193" s="1312">
        <f t="shared" si="6"/>
        <v>53760</v>
      </c>
      <c r="AF193" s="1311">
        <f t="shared" si="7"/>
        <v>0</v>
      </c>
      <c r="AG193" s="1312">
        <f t="shared" si="8"/>
        <v>3744</v>
      </c>
      <c r="AH193" s="1303">
        <v>3</v>
      </c>
      <c r="AI193" s="1312">
        <v>56300</v>
      </c>
    </row>
    <row r="194" spans="1:35" x14ac:dyDescent="0.2">
      <c r="A194" s="1305" t="s">
        <v>58</v>
      </c>
      <c r="B194" s="1301"/>
      <c r="C194" s="1309"/>
      <c r="D194" s="1309"/>
      <c r="E194" s="1309"/>
      <c r="F194" s="1309"/>
      <c r="G194" s="1309"/>
      <c r="H194" s="1309"/>
      <c r="I194" s="1309"/>
      <c r="J194" s="1309"/>
      <c r="K194" s="1309"/>
      <c r="L194" s="1309"/>
      <c r="M194" s="1309"/>
      <c r="N194" s="1310"/>
      <c r="O194" s="1311"/>
      <c r="P194" s="1312"/>
      <c r="Q194" s="1305"/>
      <c r="R194" s="1309"/>
      <c r="S194" s="1309"/>
      <c r="T194" s="1309"/>
      <c r="U194" s="1309"/>
      <c r="V194" s="1309"/>
      <c r="W194" s="1309"/>
      <c r="X194" s="1309"/>
      <c r="Y194" s="1309"/>
      <c r="Z194" s="1309"/>
      <c r="AA194" s="1309"/>
      <c r="AB194" s="1309"/>
      <c r="AC194" s="1310"/>
      <c r="AD194" s="1311"/>
      <c r="AE194" s="1312"/>
      <c r="AF194" s="1311"/>
      <c r="AG194" s="1312"/>
      <c r="AH194" s="1303"/>
      <c r="AI194" s="1312"/>
    </row>
    <row r="195" spans="1:35" x14ac:dyDescent="0.2">
      <c r="A195" s="1305" t="s">
        <v>61</v>
      </c>
      <c r="B195" s="1301"/>
      <c r="C195" s="1309"/>
      <c r="D195" s="1309"/>
      <c r="E195" s="1309"/>
      <c r="F195" s="1309"/>
      <c r="G195" s="1309"/>
      <c r="H195" s="1309"/>
      <c r="I195" s="1309"/>
      <c r="J195" s="1309"/>
      <c r="K195" s="1309"/>
      <c r="L195" s="1309"/>
      <c r="M195" s="1309"/>
      <c r="N195" s="1310"/>
      <c r="O195" s="1311"/>
      <c r="P195" s="1312"/>
      <c r="Q195" s="1305"/>
      <c r="R195" s="1309"/>
      <c r="S195" s="1309"/>
      <c r="T195" s="1309"/>
      <c r="U195" s="1309"/>
      <c r="V195" s="1309"/>
      <c r="W195" s="1309"/>
      <c r="X195" s="1309"/>
      <c r="Y195" s="1309"/>
      <c r="Z195" s="1309"/>
      <c r="AA195" s="1309"/>
      <c r="AB195" s="1309"/>
      <c r="AC195" s="1310"/>
      <c r="AD195" s="1311"/>
      <c r="AE195" s="1312"/>
      <c r="AF195" s="1311"/>
      <c r="AG195" s="1312"/>
      <c r="AH195" s="1303"/>
      <c r="AI195" s="1312"/>
    </row>
    <row r="196" spans="1:35" x14ac:dyDescent="0.2">
      <c r="A196" s="1305"/>
      <c r="B196" s="1301"/>
      <c r="C196" s="1309"/>
      <c r="D196" s="1309"/>
      <c r="E196" s="1309"/>
      <c r="F196" s="1309"/>
      <c r="G196" s="1309"/>
      <c r="H196" s="1309"/>
      <c r="I196" s="1309"/>
      <c r="J196" s="1309"/>
      <c r="K196" s="1309"/>
      <c r="L196" s="1309"/>
      <c r="M196" s="1309"/>
      <c r="N196" s="1310"/>
      <c r="O196" s="1311"/>
      <c r="P196" s="1312"/>
      <c r="Q196" s="1305"/>
      <c r="R196" s="1309"/>
      <c r="S196" s="1309"/>
      <c r="T196" s="1309"/>
      <c r="U196" s="1309"/>
      <c r="V196" s="1309"/>
      <c r="W196" s="1309"/>
      <c r="X196" s="1309"/>
      <c r="Y196" s="1309"/>
      <c r="Z196" s="1309"/>
      <c r="AA196" s="1309"/>
      <c r="AB196" s="1309"/>
      <c r="AC196" s="1310"/>
      <c r="AD196" s="1311"/>
      <c r="AE196" s="1312"/>
      <c r="AF196" s="1311"/>
      <c r="AG196" s="1312"/>
      <c r="AH196" s="1303"/>
      <c r="AI196" s="1312"/>
    </row>
    <row r="197" spans="1:35" x14ac:dyDescent="0.2">
      <c r="A197" s="1305" t="s">
        <v>4279</v>
      </c>
      <c r="B197" s="1301">
        <v>3</v>
      </c>
      <c r="C197" s="1309">
        <v>5830</v>
      </c>
      <c r="D197" s="1309"/>
      <c r="E197" s="1309"/>
      <c r="F197" s="1309"/>
      <c r="G197" s="1309"/>
      <c r="H197" s="1309"/>
      <c r="I197" s="1309"/>
      <c r="J197" s="1309"/>
      <c r="K197" s="1309">
        <f t="shared" ref="K197:K202" si="10">SUM(C197:J197)</f>
        <v>5830</v>
      </c>
      <c r="L197" s="1309">
        <v>1000</v>
      </c>
      <c r="M197" s="1309"/>
      <c r="N197" s="1310">
        <f t="shared" ref="N197:N202" si="11">SUM(L197:M197)</f>
        <v>1000</v>
      </c>
      <c r="O197" s="1311">
        <f t="shared" ref="O197:O202" si="12">(K197*12)+(N197)</f>
        <v>70960</v>
      </c>
      <c r="P197" s="1312">
        <f>B197*O197</f>
        <v>212880</v>
      </c>
      <c r="Q197" s="1305">
        <v>3</v>
      </c>
      <c r="R197" s="1309">
        <v>5980</v>
      </c>
      <c r="S197" s="1309"/>
      <c r="T197" s="1309"/>
      <c r="U197" s="1309"/>
      <c r="V197" s="1309"/>
      <c r="W197" s="1309"/>
      <c r="X197" s="1309"/>
      <c r="Y197" s="1309"/>
      <c r="Z197" s="1309">
        <f t="shared" ref="Z197:Z202" si="13">SUM(R197:Y197)</f>
        <v>5980</v>
      </c>
      <c r="AA197" s="1309">
        <v>1000</v>
      </c>
      <c r="AB197" s="1309">
        <v>0</v>
      </c>
      <c r="AC197" s="1310">
        <f t="shared" ref="AC197:AC202" si="14">SUM(AA197:AB197)</f>
        <v>1000</v>
      </c>
      <c r="AD197" s="1311">
        <f t="shared" ref="AD197:AD202" si="15">(Z197*12)+(AC197)</f>
        <v>72760</v>
      </c>
      <c r="AE197" s="1312">
        <f>Q197*AD197</f>
        <v>218280</v>
      </c>
      <c r="AF197" s="1311">
        <f t="shared" ref="AF197:AF202" si="16">Q197-B197</f>
        <v>0</v>
      </c>
      <c r="AG197" s="1312">
        <f t="shared" ref="AG197:AG202" si="17">AE197-P197</f>
        <v>5400</v>
      </c>
      <c r="AH197" s="1303">
        <v>3</v>
      </c>
      <c r="AI197" s="1312">
        <v>230000</v>
      </c>
    </row>
    <row r="198" spans="1:35" x14ac:dyDescent="0.2">
      <c r="A198" s="1305" t="s">
        <v>4280</v>
      </c>
      <c r="B198" s="1301">
        <v>2</v>
      </c>
      <c r="C198" s="1309">
        <v>5520</v>
      </c>
      <c r="D198" s="1309"/>
      <c r="E198" s="1309"/>
      <c r="F198" s="1309"/>
      <c r="G198" s="1309"/>
      <c r="H198" s="1309"/>
      <c r="I198" s="1309"/>
      <c r="J198" s="1309"/>
      <c r="K198" s="1309">
        <f t="shared" si="10"/>
        <v>5520</v>
      </c>
      <c r="L198" s="1309">
        <v>1000</v>
      </c>
      <c r="M198" s="1309"/>
      <c r="N198" s="1310">
        <f t="shared" si="11"/>
        <v>1000</v>
      </c>
      <c r="O198" s="1311">
        <f t="shared" si="12"/>
        <v>67240</v>
      </c>
      <c r="P198" s="1312">
        <f>B198*O198</f>
        <v>134480</v>
      </c>
      <c r="Q198" s="1305">
        <v>2</v>
      </c>
      <c r="R198" s="1309">
        <v>5680</v>
      </c>
      <c r="S198" s="1309"/>
      <c r="T198" s="1309"/>
      <c r="U198" s="1309"/>
      <c r="V198" s="1309"/>
      <c r="W198" s="1309"/>
      <c r="X198" s="1309"/>
      <c r="Y198" s="1309"/>
      <c r="Z198" s="1309">
        <f t="shared" si="13"/>
        <v>5680</v>
      </c>
      <c r="AA198" s="1309">
        <v>1000</v>
      </c>
      <c r="AB198" s="1309">
        <v>0</v>
      </c>
      <c r="AC198" s="1310">
        <f t="shared" si="14"/>
        <v>1000</v>
      </c>
      <c r="AD198" s="1311">
        <f t="shared" si="15"/>
        <v>69160</v>
      </c>
      <c r="AE198" s="1312">
        <f>Q198*AD198</f>
        <v>138320</v>
      </c>
      <c r="AF198" s="1311">
        <f t="shared" si="16"/>
        <v>0</v>
      </c>
      <c r="AG198" s="1312">
        <f t="shared" si="17"/>
        <v>3840</v>
      </c>
      <c r="AH198" s="1303">
        <v>2</v>
      </c>
      <c r="AI198" s="1312">
        <v>142500</v>
      </c>
    </row>
    <row r="199" spans="1:35" x14ac:dyDescent="0.2">
      <c r="A199" s="1305" t="s">
        <v>4281</v>
      </c>
      <c r="B199" s="1301">
        <v>1</v>
      </c>
      <c r="C199" s="1309">
        <v>3115</v>
      </c>
      <c r="D199" s="1309"/>
      <c r="E199" s="1309"/>
      <c r="F199" s="1309"/>
      <c r="G199" s="1309"/>
      <c r="H199" s="1309"/>
      <c r="I199" s="1309"/>
      <c r="J199" s="1309"/>
      <c r="K199" s="1309">
        <f t="shared" si="10"/>
        <v>3115</v>
      </c>
      <c r="L199" s="1309">
        <v>1000</v>
      </c>
      <c r="M199" s="1309"/>
      <c r="N199" s="1310">
        <f t="shared" si="11"/>
        <v>1000</v>
      </c>
      <c r="O199" s="1311">
        <f t="shared" si="12"/>
        <v>38380</v>
      </c>
      <c r="P199" s="1312">
        <f>B199*O199</f>
        <v>38380</v>
      </c>
      <c r="Q199" s="1305">
        <v>1</v>
      </c>
      <c r="R199" s="1309">
        <v>3350</v>
      </c>
      <c r="S199" s="1309"/>
      <c r="T199" s="1309"/>
      <c r="U199" s="1309"/>
      <c r="V199" s="1309"/>
      <c r="W199" s="1309"/>
      <c r="X199" s="1309"/>
      <c r="Y199" s="1309"/>
      <c r="Z199" s="1309">
        <f t="shared" si="13"/>
        <v>3350</v>
      </c>
      <c r="AA199" s="1309">
        <v>1000</v>
      </c>
      <c r="AB199" s="1309">
        <v>0</v>
      </c>
      <c r="AC199" s="1310">
        <f t="shared" si="14"/>
        <v>1000</v>
      </c>
      <c r="AD199" s="1311">
        <f t="shared" si="15"/>
        <v>41200</v>
      </c>
      <c r="AE199" s="1312">
        <f>Q199*AD199</f>
        <v>41200</v>
      </c>
      <c r="AF199" s="1311">
        <f t="shared" si="16"/>
        <v>0</v>
      </c>
      <c r="AG199" s="1312">
        <f t="shared" si="17"/>
        <v>2820</v>
      </c>
      <c r="AH199" s="1303">
        <v>1</v>
      </c>
      <c r="AI199" s="1312">
        <v>43500</v>
      </c>
    </row>
    <row r="200" spans="1:35" x14ac:dyDescent="0.2">
      <c r="A200" s="1305" t="s">
        <v>4282</v>
      </c>
      <c r="B200" s="1301">
        <v>1</v>
      </c>
      <c r="C200" s="1309">
        <v>3608</v>
      </c>
      <c r="D200" s="1309"/>
      <c r="E200" s="1309"/>
      <c r="F200" s="1309"/>
      <c r="G200" s="1309"/>
      <c r="H200" s="1309"/>
      <c r="I200" s="1309"/>
      <c r="J200" s="1309"/>
      <c r="K200" s="1309">
        <f t="shared" si="10"/>
        <v>3608</v>
      </c>
      <c r="L200" s="1309">
        <v>1000</v>
      </c>
      <c r="M200" s="1309"/>
      <c r="N200" s="1310">
        <f t="shared" si="11"/>
        <v>1000</v>
      </c>
      <c r="O200" s="1311">
        <f t="shared" si="12"/>
        <v>44296</v>
      </c>
      <c r="P200" s="1312">
        <f>B200*O200</f>
        <v>44296</v>
      </c>
      <c r="Q200" s="1305">
        <v>1</v>
      </c>
      <c r="R200" s="1309">
        <v>3830</v>
      </c>
      <c r="S200" s="1309"/>
      <c r="T200" s="1309"/>
      <c r="U200" s="1309"/>
      <c r="V200" s="1309"/>
      <c r="W200" s="1309"/>
      <c r="X200" s="1309"/>
      <c r="Y200" s="1309"/>
      <c r="Z200" s="1309">
        <f t="shared" si="13"/>
        <v>3830</v>
      </c>
      <c r="AA200" s="1309">
        <v>1000</v>
      </c>
      <c r="AB200" s="1309">
        <v>0</v>
      </c>
      <c r="AC200" s="1310">
        <f t="shared" si="14"/>
        <v>1000</v>
      </c>
      <c r="AD200" s="1311">
        <f t="shared" si="15"/>
        <v>46960</v>
      </c>
      <c r="AE200" s="1312">
        <f>Q200*AD200</f>
        <v>46960</v>
      </c>
      <c r="AF200" s="1311">
        <f t="shared" si="16"/>
        <v>0</v>
      </c>
      <c r="AG200" s="1312">
        <f t="shared" si="17"/>
        <v>2664</v>
      </c>
      <c r="AH200" s="1303">
        <v>1</v>
      </c>
      <c r="AI200" s="1312">
        <v>51000</v>
      </c>
    </row>
    <row r="201" spans="1:35" x14ac:dyDescent="0.2">
      <c r="A201" s="1305" t="s">
        <v>4283</v>
      </c>
      <c r="B201" s="1301">
        <v>2</v>
      </c>
      <c r="C201" s="1309">
        <v>3450</v>
      </c>
      <c r="D201" s="1309"/>
      <c r="E201" s="1309"/>
      <c r="F201" s="1309"/>
      <c r="G201" s="1309"/>
      <c r="H201" s="1309"/>
      <c r="I201" s="1309"/>
      <c r="J201" s="1309"/>
      <c r="K201" s="1309">
        <f t="shared" si="10"/>
        <v>3450</v>
      </c>
      <c r="L201" s="1309">
        <v>1000</v>
      </c>
      <c r="M201" s="1309"/>
      <c r="N201" s="1310">
        <f t="shared" si="11"/>
        <v>1000</v>
      </c>
      <c r="O201" s="1311">
        <f t="shared" si="12"/>
        <v>42400</v>
      </c>
      <c r="P201" s="1312">
        <f>B201*O201</f>
        <v>84800</v>
      </c>
      <c r="Q201" s="1305">
        <v>2</v>
      </c>
      <c r="R201" s="1309">
        <v>3580</v>
      </c>
      <c r="S201" s="1309"/>
      <c r="T201" s="1309"/>
      <c r="U201" s="1309"/>
      <c r="V201" s="1309"/>
      <c r="W201" s="1309"/>
      <c r="X201" s="1309"/>
      <c r="Y201" s="1309"/>
      <c r="Z201" s="1309">
        <f t="shared" si="13"/>
        <v>3580</v>
      </c>
      <c r="AA201" s="1309">
        <v>1000</v>
      </c>
      <c r="AB201" s="1309">
        <v>0</v>
      </c>
      <c r="AC201" s="1310">
        <f t="shared" si="14"/>
        <v>1000</v>
      </c>
      <c r="AD201" s="1311">
        <f t="shared" si="15"/>
        <v>43960</v>
      </c>
      <c r="AE201" s="1312">
        <f>Q201*AD201</f>
        <v>87920</v>
      </c>
      <c r="AF201" s="1311">
        <f t="shared" si="16"/>
        <v>0</v>
      </c>
      <c r="AG201" s="1312">
        <f t="shared" si="17"/>
        <v>3120</v>
      </c>
      <c r="AH201" s="1303">
        <v>2</v>
      </c>
      <c r="AI201" s="1312">
        <v>92000</v>
      </c>
    </row>
    <row r="202" spans="1:35" x14ac:dyDescent="0.2">
      <c r="A202" s="1305" t="s">
        <v>4284</v>
      </c>
      <c r="B202" s="1301">
        <v>2</v>
      </c>
      <c r="C202" s="1309">
        <v>3140</v>
      </c>
      <c r="D202" s="1309"/>
      <c r="E202" s="1309"/>
      <c r="F202" s="1309"/>
      <c r="G202" s="1309"/>
      <c r="H202" s="1309"/>
      <c r="I202" s="1309"/>
      <c r="J202" s="1309"/>
      <c r="K202" s="1309">
        <f t="shared" si="10"/>
        <v>3140</v>
      </c>
      <c r="L202" s="1309">
        <v>1000</v>
      </c>
      <c r="M202" s="1309"/>
      <c r="N202" s="1310">
        <f t="shared" si="11"/>
        <v>1000</v>
      </c>
      <c r="O202" s="1311">
        <f t="shared" si="12"/>
        <v>38680</v>
      </c>
      <c r="P202" s="1312">
        <f>B202*O202+20</f>
        <v>77380</v>
      </c>
      <c r="Q202" s="1305">
        <v>2</v>
      </c>
      <c r="R202" s="1309">
        <v>3300</v>
      </c>
      <c r="S202" s="1309"/>
      <c r="T202" s="1309"/>
      <c r="U202" s="1309"/>
      <c r="V202" s="1309"/>
      <c r="W202" s="1309"/>
      <c r="X202" s="1309"/>
      <c r="Y202" s="1309"/>
      <c r="Z202" s="1309">
        <f t="shared" si="13"/>
        <v>3300</v>
      </c>
      <c r="AA202" s="1309">
        <v>1000</v>
      </c>
      <c r="AB202" s="1309">
        <v>0</v>
      </c>
      <c r="AC202" s="1310">
        <f t="shared" si="14"/>
        <v>1000</v>
      </c>
      <c r="AD202" s="1311">
        <f t="shared" si="15"/>
        <v>40600</v>
      </c>
      <c r="AE202" s="1312">
        <f>Q202*AD202+39</f>
        <v>81239</v>
      </c>
      <c r="AF202" s="1311">
        <f t="shared" si="16"/>
        <v>0</v>
      </c>
      <c r="AG202" s="1312">
        <f t="shared" si="17"/>
        <v>3859</v>
      </c>
      <c r="AH202" s="1303">
        <v>2</v>
      </c>
      <c r="AI202" s="1312">
        <v>85000</v>
      </c>
    </row>
    <row r="203" spans="1:35" x14ac:dyDescent="0.2">
      <c r="A203" s="1305"/>
      <c r="B203" s="1301"/>
      <c r="C203" s="1309"/>
      <c r="D203" s="1309"/>
      <c r="E203" s="1309"/>
      <c r="F203" s="1309"/>
      <c r="G203" s="1309"/>
      <c r="H203" s="1309"/>
      <c r="I203" s="1309"/>
      <c r="J203" s="1309"/>
      <c r="K203" s="1309"/>
      <c r="L203" s="1309"/>
      <c r="M203" s="1309"/>
      <c r="N203" s="1310"/>
      <c r="O203" s="1311"/>
      <c r="P203" s="1312"/>
      <c r="Q203" s="1305"/>
      <c r="R203" s="1309"/>
      <c r="S203" s="1309"/>
      <c r="T203" s="1309"/>
      <c r="U203" s="1309"/>
      <c r="V203" s="1309"/>
      <c r="W203" s="1309"/>
      <c r="X203" s="1309"/>
      <c r="Y203" s="1309"/>
      <c r="Z203" s="1309"/>
      <c r="AA203" s="1309"/>
      <c r="AB203" s="1309"/>
      <c r="AC203" s="1310"/>
      <c r="AD203" s="1311"/>
      <c r="AE203" s="1312"/>
      <c r="AF203" s="1306"/>
      <c r="AG203" s="1307"/>
      <c r="AH203" s="1303"/>
      <c r="AI203" s="1312"/>
    </row>
    <row r="204" spans="1:35" x14ac:dyDescent="0.2">
      <c r="A204" s="1305" t="s">
        <v>58</v>
      </c>
      <c r="B204" s="1301"/>
      <c r="C204" s="1309"/>
      <c r="D204" s="1309"/>
      <c r="E204" s="1309"/>
      <c r="F204" s="1309"/>
      <c r="G204" s="1309"/>
      <c r="H204" s="1309"/>
      <c r="I204" s="1309"/>
      <c r="J204" s="1309"/>
      <c r="K204" s="1309"/>
      <c r="L204" s="1309"/>
      <c r="M204" s="1309"/>
      <c r="N204" s="1310"/>
      <c r="O204" s="1311"/>
      <c r="P204" s="1312"/>
      <c r="Q204" s="1305"/>
      <c r="R204" s="1309"/>
      <c r="S204" s="1309"/>
      <c r="T204" s="1309"/>
      <c r="U204" s="1309"/>
      <c r="V204" s="1309"/>
      <c r="W204" s="1309"/>
      <c r="X204" s="1309"/>
      <c r="Y204" s="1309"/>
      <c r="Z204" s="1309"/>
      <c r="AA204" s="1309"/>
      <c r="AB204" s="1309"/>
      <c r="AC204" s="1310"/>
      <c r="AD204" s="1311"/>
      <c r="AE204" s="1312"/>
      <c r="AF204" s="1306"/>
      <c r="AG204" s="1307"/>
      <c r="AH204" s="1303"/>
      <c r="AI204" s="1312"/>
    </row>
    <row r="205" spans="1:35" x14ac:dyDescent="0.2">
      <c r="A205" s="1305" t="s">
        <v>62</v>
      </c>
      <c r="B205" s="1301"/>
      <c r="C205" s="1309"/>
      <c r="D205" s="1309"/>
      <c r="E205" s="1309"/>
      <c r="F205" s="1309"/>
      <c r="G205" s="1309"/>
      <c r="H205" s="1309"/>
      <c r="I205" s="1309"/>
      <c r="J205" s="1309"/>
      <c r="K205" s="1309"/>
      <c r="L205" s="1309"/>
      <c r="M205" s="1309"/>
      <c r="N205" s="1310"/>
      <c r="O205" s="1311"/>
      <c r="P205" s="1312"/>
      <c r="Q205" s="1305"/>
      <c r="R205" s="1309"/>
      <c r="S205" s="1309"/>
      <c r="T205" s="1309"/>
      <c r="U205" s="1309"/>
      <c r="V205" s="1309"/>
      <c r="W205" s="1309"/>
      <c r="X205" s="1309"/>
      <c r="Y205" s="1309"/>
      <c r="Z205" s="1309"/>
      <c r="AA205" s="1309"/>
      <c r="AB205" s="1309"/>
      <c r="AC205" s="1310"/>
      <c r="AD205" s="1311"/>
      <c r="AE205" s="1312"/>
      <c r="AF205" s="1306"/>
      <c r="AG205" s="1307"/>
      <c r="AH205" s="1303"/>
      <c r="AI205" s="1312"/>
    </row>
    <row r="206" spans="1:35" x14ac:dyDescent="0.2">
      <c r="A206" s="1305" t="s">
        <v>58</v>
      </c>
      <c r="B206" s="1301"/>
      <c r="C206" s="1309"/>
      <c r="D206" s="1309"/>
      <c r="E206" s="1309"/>
      <c r="F206" s="1309"/>
      <c r="G206" s="1309"/>
      <c r="H206" s="1309"/>
      <c r="I206" s="1309"/>
      <c r="J206" s="1309"/>
      <c r="K206" s="1309"/>
      <c r="L206" s="1309"/>
      <c r="M206" s="1309"/>
      <c r="N206" s="1310"/>
      <c r="O206" s="1311"/>
      <c r="P206" s="1312"/>
      <c r="Q206" s="1305"/>
      <c r="R206" s="1309"/>
      <c r="S206" s="1309"/>
      <c r="T206" s="1309"/>
      <c r="U206" s="1309"/>
      <c r="V206" s="1309"/>
      <c r="W206" s="1309"/>
      <c r="X206" s="1309"/>
      <c r="Y206" s="1309"/>
      <c r="Z206" s="1309"/>
      <c r="AA206" s="1309"/>
      <c r="AB206" s="1309"/>
      <c r="AC206" s="1310"/>
      <c r="AD206" s="1311"/>
      <c r="AE206" s="1312"/>
      <c r="AF206" s="1306"/>
      <c r="AG206" s="1307"/>
      <c r="AH206" s="1303"/>
      <c r="AI206" s="1312"/>
    </row>
    <row r="207" spans="1:35" x14ac:dyDescent="0.2">
      <c r="A207" s="1305" t="s">
        <v>58</v>
      </c>
      <c r="B207" s="1301"/>
      <c r="C207" s="1309"/>
      <c r="D207" s="1309"/>
      <c r="E207" s="1309"/>
      <c r="F207" s="1309"/>
      <c r="G207" s="1309"/>
      <c r="H207" s="1309"/>
      <c r="I207" s="1309"/>
      <c r="J207" s="1309"/>
      <c r="K207" s="1309"/>
      <c r="L207" s="1309"/>
      <c r="M207" s="1309"/>
      <c r="N207" s="1310"/>
      <c r="O207" s="1311"/>
      <c r="P207" s="1312"/>
      <c r="Q207" s="1305"/>
      <c r="R207" s="1309"/>
      <c r="S207" s="1309"/>
      <c r="T207" s="1309"/>
      <c r="U207" s="1309"/>
      <c r="V207" s="1309"/>
      <c r="W207" s="1309"/>
      <c r="X207" s="1309"/>
      <c r="Y207" s="1309"/>
      <c r="Z207" s="1309"/>
      <c r="AA207" s="1309"/>
      <c r="AB207" s="1309"/>
      <c r="AC207" s="1310"/>
      <c r="AD207" s="1311"/>
      <c r="AE207" s="1312"/>
      <c r="AF207" s="1306"/>
      <c r="AG207" s="1307"/>
      <c r="AH207" s="1303"/>
      <c r="AI207" s="1312"/>
    </row>
    <row r="208" spans="1:35" x14ac:dyDescent="0.2">
      <c r="A208" s="1305" t="s">
        <v>63</v>
      </c>
      <c r="B208" s="1301"/>
      <c r="C208" s="1309"/>
      <c r="D208" s="1309"/>
      <c r="E208" s="1309"/>
      <c r="F208" s="1309"/>
      <c r="G208" s="1309"/>
      <c r="H208" s="1309"/>
      <c r="I208" s="1309"/>
      <c r="J208" s="1309"/>
      <c r="K208" s="1309"/>
      <c r="L208" s="1309"/>
      <c r="M208" s="1309"/>
      <c r="N208" s="1310"/>
      <c r="O208" s="1311"/>
      <c r="P208" s="1312"/>
      <c r="Q208" s="1305"/>
      <c r="R208" s="1309"/>
      <c r="S208" s="1309"/>
      <c r="T208" s="1309"/>
      <c r="U208" s="1309"/>
      <c r="V208" s="1309"/>
      <c r="W208" s="1309"/>
      <c r="X208" s="1309"/>
      <c r="Y208" s="1309"/>
      <c r="Z208" s="1309"/>
      <c r="AA208" s="1309"/>
      <c r="AB208" s="1309"/>
      <c r="AC208" s="1310"/>
      <c r="AD208" s="1311"/>
      <c r="AE208" s="1312"/>
      <c r="AF208" s="1306"/>
      <c r="AG208" s="1307"/>
      <c r="AH208" s="1303"/>
      <c r="AI208" s="1312"/>
    </row>
    <row r="209" spans="1:35" x14ac:dyDescent="0.2">
      <c r="A209" s="1305" t="s">
        <v>58</v>
      </c>
      <c r="B209" s="1301"/>
      <c r="C209" s="1309"/>
      <c r="D209" s="1309"/>
      <c r="E209" s="1309"/>
      <c r="F209" s="1309"/>
      <c r="G209" s="1309"/>
      <c r="H209" s="1309"/>
      <c r="I209" s="1309"/>
      <c r="J209" s="1309"/>
      <c r="K209" s="1309"/>
      <c r="L209" s="1309"/>
      <c r="M209" s="1309"/>
      <c r="N209" s="1310"/>
      <c r="O209" s="1311"/>
      <c r="P209" s="1312"/>
      <c r="Q209" s="1305"/>
      <c r="R209" s="1309"/>
      <c r="S209" s="1309"/>
      <c r="T209" s="1309"/>
      <c r="U209" s="1309"/>
      <c r="V209" s="1309"/>
      <c r="W209" s="1309"/>
      <c r="X209" s="1309"/>
      <c r="Y209" s="1309"/>
      <c r="Z209" s="1309"/>
      <c r="AA209" s="1309"/>
      <c r="AB209" s="1309"/>
      <c r="AC209" s="1310"/>
      <c r="AD209" s="1311"/>
      <c r="AE209" s="1312"/>
      <c r="AF209" s="1306"/>
      <c r="AG209" s="1307"/>
      <c r="AH209" s="1303"/>
      <c r="AI209" s="1312"/>
    </row>
    <row r="210" spans="1:35" x14ac:dyDescent="0.2">
      <c r="A210" s="1305" t="s">
        <v>58</v>
      </c>
      <c r="B210" s="1301"/>
      <c r="C210" s="1309"/>
      <c r="D210" s="1309"/>
      <c r="E210" s="1309"/>
      <c r="F210" s="1309"/>
      <c r="G210" s="1309"/>
      <c r="H210" s="1309"/>
      <c r="I210" s="1309"/>
      <c r="J210" s="1309"/>
      <c r="K210" s="1309"/>
      <c r="L210" s="1309"/>
      <c r="M210" s="1309"/>
      <c r="N210" s="1310"/>
      <c r="O210" s="1311"/>
      <c r="P210" s="1312"/>
      <c r="Q210" s="1305"/>
      <c r="R210" s="1309"/>
      <c r="S210" s="1309"/>
      <c r="T210" s="1309"/>
      <c r="U210" s="1309"/>
      <c r="V210" s="1309"/>
      <c r="W210" s="1309"/>
      <c r="X210" s="1309"/>
      <c r="Y210" s="1309"/>
      <c r="Z210" s="1309"/>
      <c r="AA210" s="1309"/>
      <c r="AB210" s="1309"/>
      <c r="AC210" s="1310"/>
      <c r="AD210" s="1311"/>
      <c r="AE210" s="1312"/>
      <c r="AF210" s="1306"/>
      <c r="AG210" s="1307"/>
      <c r="AH210" s="1303"/>
      <c r="AI210" s="1312"/>
    </row>
    <row r="211" spans="1:35" x14ac:dyDescent="0.2">
      <c r="A211" s="1305" t="s">
        <v>64</v>
      </c>
      <c r="B211" s="1301"/>
      <c r="C211" s="1309"/>
      <c r="D211" s="1309"/>
      <c r="E211" s="1309"/>
      <c r="F211" s="1309"/>
      <c r="G211" s="1309"/>
      <c r="H211" s="1309"/>
      <c r="I211" s="1309"/>
      <c r="J211" s="1309"/>
      <c r="K211" s="1309"/>
      <c r="L211" s="1309"/>
      <c r="M211" s="1309"/>
      <c r="N211" s="1310"/>
      <c r="O211" s="1311"/>
      <c r="P211" s="1312"/>
      <c r="Q211" s="1305"/>
      <c r="R211" s="1309"/>
      <c r="S211" s="1309"/>
      <c r="T211" s="1309"/>
      <c r="U211" s="1309"/>
      <c r="V211" s="1309"/>
      <c r="W211" s="1309"/>
      <c r="X211" s="1309"/>
      <c r="Y211" s="1309"/>
      <c r="Z211" s="1309"/>
      <c r="AA211" s="1309"/>
      <c r="AB211" s="1309"/>
      <c r="AC211" s="1310"/>
      <c r="AD211" s="1311"/>
      <c r="AE211" s="1312"/>
      <c r="AF211" s="1306"/>
      <c r="AG211" s="1307"/>
      <c r="AH211" s="1303"/>
      <c r="AI211" s="1312"/>
    </row>
    <row r="212" spans="1:35" x14ac:dyDescent="0.2">
      <c r="A212" s="1305" t="s">
        <v>58</v>
      </c>
      <c r="B212" s="1301"/>
      <c r="C212" s="1309"/>
      <c r="D212" s="1309"/>
      <c r="E212" s="1309"/>
      <c r="F212" s="1309"/>
      <c r="G212" s="1309"/>
      <c r="H212" s="1309"/>
      <c r="I212" s="1309"/>
      <c r="J212" s="1309"/>
      <c r="K212" s="1309"/>
      <c r="L212" s="1309"/>
      <c r="M212" s="1309"/>
      <c r="N212" s="1310"/>
      <c r="O212" s="1311"/>
      <c r="P212" s="1312"/>
      <c r="Q212" s="1305"/>
      <c r="R212" s="1309"/>
      <c r="S212" s="1309"/>
      <c r="T212" s="1309"/>
      <c r="U212" s="1309"/>
      <c r="V212" s="1309"/>
      <c r="W212" s="1309"/>
      <c r="X212" s="1309"/>
      <c r="Y212" s="1309"/>
      <c r="Z212" s="1309"/>
      <c r="AA212" s="1309"/>
      <c r="AB212" s="1309"/>
      <c r="AC212" s="1310"/>
      <c r="AD212" s="1311"/>
      <c r="AE212" s="1312"/>
      <c r="AF212" s="1306"/>
      <c r="AG212" s="1307"/>
      <c r="AH212" s="1303"/>
      <c r="AI212" s="1312"/>
    </row>
    <row r="213" spans="1:35" x14ac:dyDescent="0.2">
      <c r="A213" s="1305" t="s">
        <v>58</v>
      </c>
      <c r="B213" s="1301"/>
      <c r="C213" s="1309"/>
      <c r="D213" s="1309"/>
      <c r="E213" s="1309"/>
      <c r="F213" s="1309"/>
      <c r="G213" s="1309"/>
      <c r="H213" s="1309"/>
      <c r="I213" s="1309"/>
      <c r="J213" s="1309"/>
      <c r="K213" s="1309"/>
      <c r="L213" s="1309"/>
      <c r="M213" s="1309"/>
      <c r="N213" s="1310"/>
      <c r="O213" s="1311"/>
      <c r="P213" s="1312"/>
      <c r="Q213" s="1305"/>
      <c r="R213" s="1309"/>
      <c r="S213" s="1309"/>
      <c r="T213" s="1309"/>
      <c r="U213" s="1309"/>
      <c r="V213" s="1309"/>
      <c r="W213" s="1309"/>
      <c r="X213" s="1309"/>
      <c r="Y213" s="1309"/>
      <c r="Z213" s="1309"/>
      <c r="AA213" s="1309"/>
      <c r="AB213" s="1309"/>
      <c r="AC213" s="1310"/>
      <c r="AD213" s="1311"/>
      <c r="AE213" s="1312"/>
      <c r="AF213" s="1306"/>
      <c r="AG213" s="1307"/>
      <c r="AH213" s="1303"/>
      <c r="AI213" s="1312"/>
    </row>
    <row r="214" spans="1:35" x14ac:dyDescent="0.2">
      <c r="A214" s="1305" t="s">
        <v>65</v>
      </c>
      <c r="B214" s="1301"/>
      <c r="C214" s="1309"/>
      <c r="D214" s="1309"/>
      <c r="E214" s="1309"/>
      <c r="F214" s="1309"/>
      <c r="G214" s="1309"/>
      <c r="H214" s="1309"/>
      <c r="I214" s="1309"/>
      <c r="J214" s="1309"/>
      <c r="K214" s="1309"/>
      <c r="L214" s="1309"/>
      <c r="M214" s="1309"/>
      <c r="N214" s="1310"/>
      <c r="O214" s="1311"/>
      <c r="P214" s="1312"/>
      <c r="Q214" s="1305"/>
      <c r="R214" s="1309"/>
      <c r="S214" s="1309"/>
      <c r="T214" s="1309"/>
      <c r="U214" s="1309"/>
      <c r="V214" s="1309"/>
      <c r="W214" s="1309"/>
      <c r="X214" s="1309"/>
      <c r="Y214" s="1309"/>
      <c r="Z214" s="1309"/>
      <c r="AA214" s="1309"/>
      <c r="AB214" s="1309"/>
      <c r="AC214" s="1310"/>
      <c r="AD214" s="1311"/>
      <c r="AE214" s="1312"/>
      <c r="AF214" s="1306"/>
      <c r="AG214" s="1307"/>
      <c r="AH214" s="1303"/>
      <c r="AI214" s="1312"/>
    </row>
    <row r="215" spans="1:35" x14ac:dyDescent="0.2">
      <c r="A215" s="1305" t="s">
        <v>58</v>
      </c>
      <c r="B215" s="1301"/>
      <c r="C215" s="1309"/>
      <c r="D215" s="1309"/>
      <c r="E215" s="1309"/>
      <c r="F215" s="1309"/>
      <c r="G215" s="1309"/>
      <c r="H215" s="1309"/>
      <c r="I215" s="1309"/>
      <c r="J215" s="1309"/>
      <c r="K215" s="1309"/>
      <c r="L215" s="1309"/>
      <c r="M215" s="1309"/>
      <c r="N215" s="1310"/>
      <c r="O215" s="1311"/>
      <c r="P215" s="1312"/>
      <c r="Q215" s="1305"/>
      <c r="R215" s="1309"/>
      <c r="S215" s="1309"/>
      <c r="T215" s="1309"/>
      <c r="U215" s="1309"/>
      <c r="V215" s="1309"/>
      <c r="W215" s="1309"/>
      <c r="X215" s="1309"/>
      <c r="Y215" s="1309"/>
      <c r="Z215" s="1309"/>
      <c r="AA215" s="1309"/>
      <c r="AB215" s="1309"/>
      <c r="AC215" s="1310"/>
      <c r="AD215" s="1311"/>
      <c r="AE215" s="1312"/>
      <c r="AF215" s="1306"/>
      <c r="AG215" s="1307"/>
      <c r="AH215" s="1303"/>
      <c r="AI215" s="1312"/>
    </row>
    <row r="216" spans="1:35" x14ac:dyDescent="0.2">
      <c r="A216" s="1305" t="s">
        <v>58</v>
      </c>
      <c r="B216" s="1301"/>
      <c r="C216" s="1309"/>
      <c r="D216" s="1309"/>
      <c r="E216" s="1309"/>
      <c r="F216" s="1309"/>
      <c r="G216" s="1309"/>
      <c r="H216" s="1309"/>
      <c r="I216" s="1309"/>
      <c r="J216" s="1309"/>
      <c r="K216" s="1309"/>
      <c r="L216" s="1309"/>
      <c r="M216" s="1309"/>
      <c r="N216" s="1310"/>
      <c r="O216" s="1311"/>
      <c r="P216" s="1312"/>
      <c r="Q216" s="1305"/>
      <c r="R216" s="1309"/>
      <c r="S216" s="1309"/>
      <c r="T216" s="1309"/>
      <c r="U216" s="1309"/>
      <c r="V216" s="1309"/>
      <c r="W216" s="1309"/>
      <c r="X216" s="1309"/>
      <c r="Y216" s="1309"/>
      <c r="Z216" s="1309"/>
      <c r="AA216" s="1309"/>
      <c r="AB216" s="1309"/>
      <c r="AC216" s="1310"/>
      <c r="AD216" s="1311"/>
      <c r="AE216" s="1312"/>
      <c r="AF216" s="1306"/>
      <c r="AG216" s="1307"/>
      <c r="AH216" s="1303"/>
      <c r="AI216" s="1312"/>
    </row>
    <row r="217" spans="1:35" x14ac:dyDescent="0.2">
      <c r="A217" s="1305" t="s">
        <v>66</v>
      </c>
      <c r="B217" s="1301"/>
      <c r="C217" s="1309"/>
      <c r="D217" s="1309"/>
      <c r="E217" s="1309"/>
      <c r="F217" s="1309"/>
      <c r="G217" s="1309"/>
      <c r="H217" s="1309"/>
      <c r="I217" s="1309"/>
      <c r="J217" s="1309"/>
      <c r="K217" s="1309"/>
      <c r="L217" s="1309"/>
      <c r="M217" s="1309"/>
      <c r="N217" s="1310"/>
      <c r="O217" s="1311"/>
      <c r="P217" s="1312"/>
      <c r="Q217" s="1305"/>
      <c r="R217" s="1309"/>
      <c r="S217" s="1309"/>
      <c r="T217" s="1309"/>
      <c r="U217" s="1309"/>
      <c r="V217" s="1309"/>
      <c r="W217" s="1309"/>
      <c r="X217" s="1309"/>
      <c r="Y217" s="1309"/>
      <c r="Z217" s="1309"/>
      <c r="AA217" s="1309"/>
      <c r="AB217" s="1309"/>
      <c r="AC217" s="1310"/>
      <c r="AD217" s="1311"/>
      <c r="AE217" s="1312"/>
      <c r="AF217" s="1306"/>
      <c r="AG217" s="1307"/>
      <c r="AH217" s="1303"/>
      <c r="AI217" s="1312"/>
    </row>
    <row r="218" spans="1:35" x14ac:dyDescent="0.2">
      <c r="A218" s="1305" t="s">
        <v>58</v>
      </c>
      <c r="B218" s="1301"/>
      <c r="C218" s="1309"/>
      <c r="D218" s="1309"/>
      <c r="E218" s="1309"/>
      <c r="F218" s="1309"/>
      <c r="G218" s="1309"/>
      <c r="H218" s="1309"/>
      <c r="I218" s="1309"/>
      <c r="J218" s="1309"/>
      <c r="K218" s="1309"/>
      <c r="L218" s="1309"/>
      <c r="M218" s="1309"/>
      <c r="N218" s="1310"/>
      <c r="O218" s="1311"/>
      <c r="P218" s="1312"/>
      <c r="Q218" s="1305"/>
      <c r="R218" s="1309"/>
      <c r="S218" s="1309"/>
      <c r="T218" s="1309"/>
      <c r="U218" s="1309"/>
      <c r="V218" s="1309"/>
      <c r="W218" s="1309"/>
      <c r="X218" s="1309"/>
      <c r="Y218" s="1309"/>
      <c r="Z218" s="1309"/>
      <c r="AA218" s="1309"/>
      <c r="AB218" s="1309"/>
      <c r="AC218" s="1310"/>
      <c r="AD218" s="1311"/>
      <c r="AE218" s="1312"/>
      <c r="AF218" s="1306"/>
      <c r="AG218" s="1307"/>
      <c r="AH218" s="1303"/>
      <c r="AI218" s="1312"/>
    </row>
    <row r="219" spans="1:35" x14ac:dyDescent="0.2">
      <c r="A219" s="1305" t="s">
        <v>58</v>
      </c>
      <c r="B219" s="1301"/>
      <c r="C219" s="1309"/>
      <c r="D219" s="1309"/>
      <c r="E219" s="1309"/>
      <c r="F219" s="1309"/>
      <c r="G219" s="1309"/>
      <c r="H219" s="1309"/>
      <c r="I219" s="1309"/>
      <c r="J219" s="1309"/>
      <c r="K219" s="1309"/>
      <c r="L219" s="1309"/>
      <c r="M219" s="1309"/>
      <c r="N219" s="1310"/>
      <c r="O219" s="1311"/>
      <c r="P219" s="1312"/>
      <c r="Q219" s="1305"/>
      <c r="R219" s="1309"/>
      <c r="S219" s="1309"/>
      <c r="T219" s="1309"/>
      <c r="U219" s="1309"/>
      <c r="V219" s="1309"/>
      <c r="W219" s="1309"/>
      <c r="X219" s="1309"/>
      <c r="Y219" s="1309"/>
      <c r="Z219" s="1309"/>
      <c r="AA219" s="1309"/>
      <c r="AB219" s="1309"/>
      <c r="AC219" s="1310"/>
      <c r="AD219" s="1311"/>
      <c r="AE219" s="1312"/>
      <c r="AF219" s="1306"/>
      <c r="AG219" s="1307"/>
      <c r="AH219" s="1303"/>
      <c r="AI219" s="1312"/>
    </row>
    <row r="220" spans="1:35" x14ac:dyDescent="0.2">
      <c r="A220" s="1305" t="s">
        <v>67</v>
      </c>
      <c r="B220" s="1301"/>
      <c r="C220" s="1309"/>
      <c r="D220" s="1309"/>
      <c r="E220" s="1309"/>
      <c r="F220" s="1309"/>
      <c r="G220" s="1309"/>
      <c r="H220" s="1309"/>
      <c r="I220" s="1309"/>
      <c r="J220" s="1309"/>
      <c r="K220" s="1309"/>
      <c r="L220" s="1309"/>
      <c r="M220" s="1309"/>
      <c r="N220" s="1310"/>
      <c r="O220" s="1311"/>
      <c r="P220" s="1312"/>
      <c r="Q220" s="1305"/>
      <c r="R220" s="1309"/>
      <c r="S220" s="1309"/>
      <c r="T220" s="1309"/>
      <c r="U220" s="1309"/>
      <c r="V220" s="1309"/>
      <c r="W220" s="1309"/>
      <c r="X220" s="1309"/>
      <c r="Y220" s="1309"/>
      <c r="Z220" s="1309"/>
      <c r="AA220" s="1309"/>
      <c r="AB220" s="1309"/>
      <c r="AC220" s="1310"/>
      <c r="AD220" s="1311"/>
      <c r="AE220" s="1312"/>
      <c r="AF220" s="1306"/>
      <c r="AG220" s="1307"/>
      <c r="AH220" s="1303"/>
      <c r="AI220" s="1312"/>
    </row>
    <row r="221" spans="1:35" x14ac:dyDescent="0.2">
      <c r="A221" s="1305" t="s">
        <v>58</v>
      </c>
      <c r="B221" s="1301"/>
      <c r="C221" s="1309"/>
      <c r="D221" s="1309"/>
      <c r="E221" s="1309"/>
      <c r="F221" s="1309"/>
      <c r="G221" s="1309"/>
      <c r="H221" s="1309"/>
      <c r="I221" s="1309"/>
      <c r="J221" s="1309"/>
      <c r="K221" s="1309"/>
      <c r="L221" s="1309"/>
      <c r="M221" s="1309"/>
      <c r="N221" s="1310"/>
      <c r="O221" s="1311"/>
      <c r="P221" s="1312"/>
      <c r="Q221" s="1305"/>
      <c r="R221" s="1309"/>
      <c r="S221" s="1309"/>
      <c r="T221" s="1309"/>
      <c r="U221" s="1309"/>
      <c r="V221" s="1309"/>
      <c r="W221" s="1309"/>
      <c r="X221" s="1309"/>
      <c r="Y221" s="1309"/>
      <c r="Z221" s="1309"/>
      <c r="AA221" s="1309"/>
      <c r="AB221" s="1309"/>
      <c r="AC221" s="1310"/>
      <c r="AD221" s="1311"/>
      <c r="AE221" s="1312"/>
      <c r="AF221" s="1306"/>
      <c r="AG221" s="1307"/>
      <c r="AH221" s="1303"/>
      <c r="AI221" s="1312"/>
    </row>
    <row r="222" spans="1:35" x14ac:dyDescent="0.2">
      <c r="A222" s="1305" t="s">
        <v>58</v>
      </c>
      <c r="B222" s="1301"/>
      <c r="C222" s="1309"/>
      <c r="D222" s="1309"/>
      <c r="E222" s="1309"/>
      <c r="F222" s="1309"/>
      <c r="G222" s="1309"/>
      <c r="H222" s="1309"/>
      <c r="I222" s="1309"/>
      <c r="J222" s="1309"/>
      <c r="K222" s="1309"/>
      <c r="L222" s="1309"/>
      <c r="M222" s="1309"/>
      <c r="N222" s="1310"/>
      <c r="O222" s="1311"/>
      <c r="P222" s="1312"/>
      <c r="Q222" s="1305"/>
      <c r="R222" s="1309"/>
      <c r="S222" s="1309"/>
      <c r="T222" s="1309"/>
      <c r="U222" s="1309"/>
      <c r="V222" s="1309"/>
      <c r="W222" s="1309"/>
      <c r="X222" s="1309"/>
      <c r="Y222" s="1309"/>
      <c r="Z222" s="1309"/>
      <c r="AA222" s="1309"/>
      <c r="AB222" s="1309"/>
      <c r="AC222" s="1310"/>
      <c r="AD222" s="1311"/>
      <c r="AE222" s="1312"/>
      <c r="AF222" s="1306"/>
      <c r="AG222" s="1307"/>
      <c r="AH222" s="1303"/>
      <c r="AI222" s="1312"/>
    </row>
    <row r="223" spans="1:35" x14ac:dyDescent="0.2">
      <c r="A223" s="1305" t="s">
        <v>26</v>
      </c>
      <c r="B223" s="1301"/>
      <c r="C223" s="1309"/>
      <c r="D223" s="1309"/>
      <c r="E223" s="1309"/>
      <c r="F223" s="1309"/>
      <c r="G223" s="1309"/>
      <c r="H223" s="1309"/>
      <c r="I223" s="1309"/>
      <c r="J223" s="1309"/>
      <c r="K223" s="1309"/>
      <c r="L223" s="1309"/>
      <c r="M223" s="1309"/>
      <c r="N223" s="1310"/>
      <c r="O223" s="1311"/>
      <c r="P223" s="1312"/>
      <c r="Q223" s="1305"/>
      <c r="R223" s="1309"/>
      <c r="S223" s="1309"/>
      <c r="T223" s="1309"/>
      <c r="U223" s="1309"/>
      <c r="V223" s="1309"/>
      <c r="W223" s="1309"/>
      <c r="X223" s="1309"/>
      <c r="Y223" s="1309"/>
      <c r="Z223" s="1309"/>
      <c r="AA223" s="1309"/>
      <c r="AB223" s="1309"/>
      <c r="AC223" s="1310"/>
      <c r="AD223" s="1311"/>
      <c r="AE223" s="1312"/>
      <c r="AF223" s="1306"/>
      <c r="AG223" s="1307"/>
      <c r="AH223" s="1303"/>
      <c r="AI223" s="1312"/>
    </row>
    <row r="224" spans="1:35" x14ac:dyDescent="0.2">
      <c r="A224" s="1305" t="s">
        <v>68</v>
      </c>
      <c r="B224" s="1301"/>
      <c r="C224" s="1309"/>
      <c r="D224" s="1309"/>
      <c r="E224" s="1309"/>
      <c r="F224" s="1309"/>
      <c r="G224" s="1309"/>
      <c r="H224" s="1309"/>
      <c r="I224" s="1309"/>
      <c r="J224" s="1309"/>
      <c r="K224" s="1309"/>
      <c r="L224" s="1309"/>
      <c r="M224" s="1309"/>
      <c r="N224" s="1310"/>
      <c r="O224" s="1311"/>
      <c r="P224" s="1312"/>
      <c r="Q224" s="1305"/>
      <c r="R224" s="1309"/>
      <c r="S224" s="1309"/>
      <c r="T224" s="1309"/>
      <c r="U224" s="1309"/>
      <c r="V224" s="1309"/>
      <c r="W224" s="1309"/>
      <c r="X224" s="1309"/>
      <c r="Y224" s="1309"/>
      <c r="Z224" s="1309"/>
      <c r="AA224" s="1309"/>
      <c r="AB224" s="1309"/>
      <c r="AC224" s="1310"/>
      <c r="AD224" s="1311"/>
      <c r="AE224" s="1312"/>
      <c r="AF224" s="1306"/>
      <c r="AG224" s="1307"/>
      <c r="AH224" s="1303"/>
      <c r="AI224" s="1312"/>
    </row>
    <row r="225" spans="1:35" x14ac:dyDescent="0.2">
      <c r="A225" s="1305" t="s">
        <v>69</v>
      </c>
      <c r="B225" s="1301"/>
      <c r="C225" s="1309"/>
      <c r="D225" s="1309"/>
      <c r="E225" s="1309"/>
      <c r="F225" s="1309"/>
      <c r="G225" s="1309"/>
      <c r="H225" s="1309"/>
      <c r="I225" s="1309"/>
      <c r="J225" s="1309"/>
      <c r="K225" s="1309"/>
      <c r="L225" s="1309"/>
      <c r="M225" s="1309"/>
      <c r="N225" s="1310"/>
      <c r="O225" s="1311"/>
      <c r="P225" s="1312"/>
      <c r="Q225" s="1305"/>
      <c r="R225" s="1309"/>
      <c r="S225" s="1309"/>
      <c r="T225" s="1309"/>
      <c r="U225" s="1309"/>
      <c r="V225" s="1309"/>
      <c r="W225" s="1309"/>
      <c r="X225" s="1309"/>
      <c r="Y225" s="1309"/>
      <c r="Z225" s="1309"/>
      <c r="AA225" s="1309"/>
      <c r="AB225" s="1309"/>
      <c r="AC225" s="1310"/>
      <c r="AD225" s="1311"/>
      <c r="AE225" s="1312"/>
      <c r="AF225" s="1306"/>
      <c r="AG225" s="1307"/>
      <c r="AH225" s="1303"/>
      <c r="AI225" s="1312"/>
    </row>
    <row r="226" spans="1:35" x14ac:dyDescent="0.2">
      <c r="A226" s="1305" t="s">
        <v>69</v>
      </c>
      <c r="B226" s="1301"/>
      <c r="C226" s="1309"/>
      <c r="D226" s="1309"/>
      <c r="E226" s="1309"/>
      <c r="F226" s="1309"/>
      <c r="G226" s="1309"/>
      <c r="H226" s="1309"/>
      <c r="I226" s="1309"/>
      <c r="J226" s="1309"/>
      <c r="K226" s="1309"/>
      <c r="L226" s="1309"/>
      <c r="M226" s="1309"/>
      <c r="N226" s="1310"/>
      <c r="O226" s="1311"/>
      <c r="P226" s="1312"/>
      <c r="Q226" s="1305"/>
      <c r="R226" s="1309"/>
      <c r="S226" s="1309"/>
      <c r="T226" s="1309"/>
      <c r="U226" s="1309"/>
      <c r="V226" s="1309"/>
      <c r="W226" s="1309"/>
      <c r="X226" s="1309"/>
      <c r="Y226" s="1309"/>
      <c r="Z226" s="1309"/>
      <c r="AA226" s="1309"/>
      <c r="AB226" s="1309"/>
      <c r="AC226" s="1310"/>
      <c r="AD226" s="1311"/>
      <c r="AE226" s="1312"/>
      <c r="AF226" s="1306"/>
      <c r="AG226" s="1307"/>
      <c r="AH226" s="1303"/>
      <c r="AI226" s="1312"/>
    </row>
    <row r="227" spans="1:35" x14ac:dyDescent="0.2">
      <c r="A227" s="1305" t="s">
        <v>70</v>
      </c>
      <c r="B227" s="1301"/>
      <c r="C227" s="1309"/>
      <c r="D227" s="1309"/>
      <c r="E227" s="1309"/>
      <c r="F227" s="1309"/>
      <c r="G227" s="1309"/>
      <c r="H227" s="1309"/>
      <c r="I227" s="1309"/>
      <c r="J227" s="1309"/>
      <c r="K227" s="1309"/>
      <c r="L227" s="1309"/>
      <c r="M227" s="1309"/>
      <c r="N227" s="1310"/>
      <c r="O227" s="1311"/>
      <c r="P227" s="1312"/>
      <c r="Q227" s="1305"/>
      <c r="R227" s="1309"/>
      <c r="S227" s="1309"/>
      <c r="T227" s="1309"/>
      <c r="U227" s="1309"/>
      <c r="V227" s="1309"/>
      <c r="W227" s="1309"/>
      <c r="X227" s="1309"/>
      <c r="Y227" s="1309"/>
      <c r="Z227" s="1309"/>
      <c r="AA227" s="1309"/>
      <c r="AB227" s="1309"/>
      <c r="AC227" s="1310"/>
      <c r="AD227" s="1311"/>
      <c r="AE227" s="1312"/>
      <c r="AF227" s="1306"/>
      <c r="AG227" s="1307"/>
      <c r="AH227" s="1303"/>
      <c r="AI227" s="1312"/>
    </row>
    <row r="228" spans="1:35" x14ac:dyDescent="0.2">
      <c r="A228" s="1305" t="s">
        <v>69</v>
      </c>
      <c r="B228" s="1301"/>
      <c r="C228" s="1309"/>
      <c r="D228" s="1309"/>
      <c r="E228" s="1309"/>
      <c r="F228" s="1309"/>
      <c r="G228" s="1309"/>
      <c r="H228" s="1309"/>
      <c r="I228" s="1309"/>
      <c r="J228" s="1309"/>
      <c r="K228" s="1309"/>
      <c r="L228" s="1309"/>
      <c r="M228" s="1309"/>
      <c r="N228" s="1310"/>
      <c r="O228" s="1311"/>
      <c r="P228" s="1312"/>
      <c r="Q228" s="1305"/>
      <c r="R228" s="1309"/>
      <c r="S228" s="1309"/>
      <c r="T228" s="1309"/>
      <c r="U228" s="1309"/>
      <c r="V228" s="1309"/>
      <c r="W228" s="1309"/>
      <c r="X228" s="1309"/>
      <c r="Y228" s="1309"/>
      <c r="Z228" s="1309"/>
      <c r="AA228" s="1309"/>
      <c r="AB228" s="1309"/>
      <c r="AC228" s="1310"/>
      <c r="AD228" s="1311"/>
      <c r="AE228" s="1312"/>
      <c r="AF228" s="1306"/>
      <c r="AG228" s="1307"/>
      <c r="AH228" s="1303"/>
      <c r="AI228" s="1312"/>
    </row>
    <row r="229" spans="1:35" x14ac:dyDescent="0.2">
      <c r="A229" s="1305" t="s">
        <v>71</v>
      </c>
      <c r="B229" s="1301"/>
      <c r="C229" s="1309"/>
      <c r="D229" s="1309"/>
      <c r="E229" s="1309"/>
      <c r="F229" s="1309"/>
      <c r="G229" s="1309"/>
      <c r="H229" s="1309"/>
      <c r="I229" s="1309"/>
      <c r="J229" s="1309"/>
      <c r="K229" s="1309"/>
      <c r="L229" s="1309"/>
      <c r="M229" s="1309"/>
      <c r="N229" s="1310"/>
      <c r="O229" s="1311"/>
      <c r="P229" s="1312"/>
      <c r="Q229" s="1305"/>
      <c r="R229" s="1309"/>
      <c r="S229" s="1309"/>
      <c r="T229" s="1309"/>
      <c r="U229" s="1309"/>
      <c r="V229" s="1309"/>
      <c r="W229" s="1309"/>
      <c r="X229" s="1309"/>
      <c r="Y229" s="1309"/>
      <c r="Z229" s="1309"/>
      <c r="AA229" s="1309"/>
      <c r="AB229" s="1309"/>
      <c r="AC229" s="1310"/>
      <c r="AD229" s="1311"/>
      <c r="AE229" s="1312"/>
      <c r="AF229" s="1306"/>
      <c r="AG229" s="1307"/>
      <c r="AH229" s="1303"/>
      <c r="AI229" s="1312"/>
    </row>
    <row r="230" spans="1:35" s="162" customFormat="1" x14ac:dyDescent="0.2">
      <c r="A230" s="1305" t="s">
        <v>69</v>
      </c>
      <c r="B230" s="1301"/>
      <c r="C230" s="1309"/>
      <c r="D230" s="1309"/>
      <c r="E230" s="1309"/>
      <c r="F230" s="1309"/>
      <c r="G230" s="1309"/>
      <c r="H230" s="1309"/>
      <c r="I230" s="1309"/>
      <c r="J230" s="1309"/>
      <c r="K230" s="1309"/>
      <c r="L230" s="1309"/>
      <c r="M230" s="1309"/>
      <c r="N230" s="1310"/>
      <c r="O230" s="1311"/>
      <c r="P230" s="1312"/>
      <c r="Q230" s="1305"/>
      <c r="R230" s="1309"/>
      <c r="S230" s="1309"/>
      <c r="T230" s="1309"/>
      <c r="U230" s="1309"/>
      <c r="V230" s="1309"/>
      <c r="W230" s="1309"/>
      <c r="X230" s="1309"/>
      <c r="Y230" s="1309"/>
      <c r="Z230" s="1309"/>
      <c r="AA230" s="1309"/>
      <c r="AB230" s="1309"/>
      <c r="AC230" s="1310"/>
      <c r="AD230" s="1311"/>
      <c r="AE230" s="1312"/>
      <c r="AF230" s="1306"/>
      <c r="AG230" s="1307"/>
      <c r="AH230" s="1303"/>
      <c r="AI230" s="1312"/>
    </row>
    <row r="231" spans="1:35" s="162" customFormat="1" x14ac:dyDescent="0.2">
      <c r="A231" s="1305"/>
      <c r="B231" s="1301"/>
      <c r="C231" s="1309"/>
      <c r="D231" s="1309"/>
      <c r="E231" s="1309"/>
      <c r="F231" s="1309"/>
      <c r="G231" s="1309"/>
      <c r="H231" s="1309"/>
      <c r="I231" s="1309"/>
      <c r="J231" s="1309"/>
      <c r="K231" s="1309"/>
      <c r="L231" s="1309"/>
      <c r="M231" s="1309"/>
      <c r="N231" s="1310"/>
      <c r="O231" s="1311"/>
      <c r="P231" s="1312"/>
      <c r="Q231" s="1305"/>
      <c r="R231" s="1309"/>
      <c r="S231" s="1309"/>
      <c r="T231" s="1309"/>
      <c r="U231" s="1309"/>
      <c r="V231" s="1309"/>
      <c r="W231" s="1309"/>
      <c r="X231" s="1309"/>
      <c r="Y231" s="1309"/>
      <c r="Z231" s="1309"/>
      <c r="AA231" s="1309"/>
      <c r="AB231" s="1309"/>
      <c r="AC231" s="1310"/>
      <c r="AD231" s="1311"/>
      <c r="AE231" s="1312"/>
      <c r="AF231" s="1306"/>
      <c r="AG231" s="1307"/>
      <c r="AH231" s="1303"/>
      <c r="AI231" s="1312"/>
    </row>
    <row r="232" spans="1:35" s="162" customFormat="1" x14ac:dyDescent="0.2">
      <c r="A232" s="1305" t="s">
        <v>72</v>
      </c>
      <c r="B232" s="1301"/>
      <c r="C232" s="1309"/>
      <c r="D232" s="1309"/>
      <c r="E232" s="1309"/>
      <c r="F232" s="1309"/>
      <c r="G232" s="1309"/>
      <c r="H232" s="1309"/>
      <c r="I232" s="1309"/>
      <c r="J232" s="1309"/>
      <c r="K232" s="1309"/>
      <c r="L232" s="1309"/>
      <c r="M232" s="1309"/>
      <c r="N232" s="1310"/>
      <c r="O232" s="1311"/>
      <c r="P232" s="1312"/>
      <c r="Q232" s="1305"/>
      <c r="R232" s="1309"/>
      <c r="S232" s="1309"/>
      <c r="T232" s="1309"/>
      <c r="U232" s="1309"/>
      <c r="V232" s="1309"/>
      <c r="W232" s="1309"/>
      <c r="X232" s="1309"/>
      <c r="Y232" s="1309"/>
      <c r="Z232" s="1309"/>
      <c r="AA232" s="1309"/>
      <c r="AB232" s="1309"/>
      <c r="AC232" s="1310"/>
      <c r="AD232" s="1311"/>
      <c r="AE232" s="1312"/>
      <c r="AF232" s="1306"/>
      <c r="AG232" s="1307"/>
      <c r="AH232" s="1303"/>
      <c r="AI232" s="1312"/>
    </row>
    <row r="233" spans="1:35" s="162" customFormat="1" x14ac:dyDescent="0.2">
      <c r="A233" s="1305" t="s">
        <v>69</v>
      </c>
      <c r="B233" s="1301"/>
      <c r="C233" s="1309"/>
      <c r="D233" s="1309"/>
      <c r="E233" s="1309"/>
      <c r="F233" s="1309"/>
      <c r="G233" s="1309"/>
      <c r="H233" s="1309"/>
      <c r="I233" s="1309"/>
      <c r="J233" s="1309"/>
      <c r="K233" s="1309"/>
      <c r="L233" s="1309"/>
      <c r="M233" s="1309"/>
      <c r="N233" s="1310"/>
      <c r="O233" s="1311"/>
      <c r="P233" s="1312"/>
      <c r="Q233" s="1305"/>
      <c r="R233" s="1309"/>
      <c r="S233" s="1309"/>
      <c r="T233" s="1309"/>
      <c r="U233" s="1309"/>
      <c r="V233" s="1309"/>
      <c r="W233" s="1309"/>
      <c r="X233" s="1309"/>
      <c r="Y233" s="1309"/>
      <c r="Z233" s="1309"/>
      <c r="AA233" s="1309"/>
      <c r="AB233" s="1309"/>
      <c r="AC233" s="1310"/>
      <c r="AD233" s="1311"/>
      <c r="AE233" s="1312"/>
      <c r="AF233" s="1306"/>
      <c r="AG233" s="1307"/>
      <c r="AH233" s="1303"/>
      <c r="AI233" s="1312"/>
    </row>
    <row r="234" spans="1:35" s="162" customFormat="1" x14ac:dyDescent="0.2">
      <c r="A234" s="1305"/>
      <c r="B234" s="1301"/>
      <c r="C234" s="1309"/>
      <c r="D234" s="1309"/>
      <c r="E234" s="1309"/>
      <c r="F234" s="1309"/>
      <c r="G234" s="1309"/>
      <c r="H234" s="1309"/>
      <c r="I234" s="1309"/>
      <c r="J234" s="1309"/>
      <c r="K234" s="1309"/>
      <c r="L234" s="1309"/>
      <c r="M234" s="1309"/>
      <c r="N234" s="1310"/>
      <c r="O234" s="1311"/>
      <c r="P234" s="1312"/>
      <c r="Q234" s="1305"/>
      <c r="R234" s="1309"/>
      <c r="S234" s="1309"/>
      <c r="T234" s="1309"/>
      <c r="U234" s="1309"/>
      <c r="V234" s="1309"/>
      <c r="W234" s="1309"/>
      <c r="X234" s="1309"/>
      <c r="Y234" s="1309"/>
      <c r="Z234" s="1309"/>
      <c r="AA234" s="1309"/>
      <c r="AB234" s="1309"/>
      <c r="AC234" s="1310"/>
      <c r="AD234" s="1311"/>
      <c r="AE234" s="1312"/>
      <c r="AF234" s="1306"/>
      <c r="AG234" s="1307"/>
      <c r="AH234" s="1303"/>
      <c r="AI234" s="1312"/>
    </row>
    <row r="235" spans="1:35" s="162" customFormat="1" ht="12.75" thickBot="1" x14ac:dyDescent="0.25">
      <c r="A235" s="1319"/>
      <c r="B235" s="1320"/>
      <c r="C235" s="1321"/>
      <c r="D235" s="1321"/>
      <c r="E235" s="1321"/>
      <c r="F235" s="1321"/>
      <c r="G235" s="1321"/>
      <c r="H235" s="1321"/>
      <c r="I235" s="1321"/>
      <c r="J235" s="1321"/>
      <c r="K235" s="1321"/>
      <c r="L235" s="1321"/>
      <c r="M235" s="1321"/>
      <c r="N235" s="1322"/>
      <c r="O235" s="1323"/>
      <c r="P235" s="1324"/>
      <c r="Q235" s="1325"/>
      <c r="R235" s="1321"/>
      <c r="S235" s="1321"/>
      <c r="T235" s="1321"/>
      <c r="U235" s="1321"/>
      <c r="V235" s="1321"/>
      <c r="W235" s="1321"/>
      <c r="X235" s="1321"/>
      <c r="Y235" s="1321"/>
      <c r="Z235" s="1321"/>
      <c r="AA235" s="1321"/>
      <c r="AB235" s="1321"/>
      <c r="AC235" s="1322"/>
      <c r="AD235" s="1323"/>
      <c r="AE235" s="1324"/>
      <c r="AF235" s="1326"/>
      <c r="AG235" s="1327"/>
      <c r="AH235" s="1328"/>
      <c r="AI235" s="1324"/>
    </row>
    <row r="236" spans="1:35" s="162" customFormat="1" ht="12.75" thickBot="1" x14ac:dyDescent="0.25">
      <c r="A236" s="1329" t="s">
        <v>0</v>
      </c>
      <c r="B236" s="1330">
        <f>SUM(B166:B235)</f>
        <v>168</v>
      </c>
      <c r="C236" s="1331"/>
      <c r="D236" s="1332"/>
      <c r="E236" s="1332"/>
      <c r="F236" s="1332"/>
      <c r="G236" s="1332"/>
      <c r="H236" s="1332"/>
      <c r="I236" s="1332"/>
      <c r="J236" s="1332"/>
      <c r="K236" s="1332"/>
      <c r="L236" s="1332"/>
      <c r="M236" s="1332"/>
      <c r="N236" s="1333"/>
      <c r="O236" s="1334"/>
      <c r="P236" s="1335">
        <f>SUM(P164:P235)</f>
        <v>4800716</v>
      </c>
      <c r="Q236" s="1336">
        <f>SUM(Q166:Q235)</f>
        <v>167</v>
      </c>
      <c r="R236" s="1331"/>
      <c r="S236" s="1332"/>
      <c r="T236" s="1332"/>
      <c r="U236" s="1332"/>
      <c r="V236" s="1332"/>
      <c r="W236" s="1332"/>
      <c r="X236" s="1332"/>
      <c r="Y236" s="1332"/>
      <c r="Z236" s="1332"/>
      <c r="AA236" s="1332"/>
      <c r="AB236" s="1332"/>
      <c r="AC236" s="1333"/>
      <c r="AD236" s="1337"/>
      <c r="AE236" s="1335">
        <f>SUM(AE164:AE235)</f>
        <v>5056283</v>
      </c>
      <c r="AF236" s="1338">
        <f>SUM(AF164:AF235)</f>
        <v>-1</v>
      </c>
      <c r="AG236" s="1339">
        <f>SUM(AG164:AG235)</f>
        <v>255567</v>
      </c>
      <c r="AH236" s="1338">
        <f>SUM(AH164:AH235)</f>
        <v>168</v>
      </c>
      <c r="AI236" s="1339">
        <f>SUM(AI164:AI235)</f>
        <v>5347351</v>
      </c>
    </row>
    <row r="237" spans="1:35" s="162" customFormat="1" x14ac:dyDescent="0.2">
      <c r="A237" s="1275" t="s">
        <v>73</v>
      </c>
      <c r="B237" s="1340"/>
      <c r="C237" s="1275"/>
      <c r="D237" s="1275"/>
      <c r="E237" s="1275"/>
      <c r="F237" s="1275"/>
      <c r="G237" s="1275"/>
      <c r="H237" s="1275"/>
      <c r="I237" s="1275"/>
      <c r="J237" s="1275"/>
      <c r="K237" s="1275"/>
      <c r="L237" s="1275"/>
      <c r="M237" s="1275"/>
      <c r="N237" s="1275"/>
      <c r="O237" s="1275"/>
      <c r="P237" s="1275"/>
      <c r="Q237" s="1275"/>
      <c r="R237" s="1275"/>
      <c r="S237" s="1275"/>
      <c r="T237" s="1275"/>
      <c r="U237" s="1275"/>
      <c r="V237" s="1275"/>
      <c r="W237" s="1275"/>
      <c r="X237" s="1275"/>
      <c r="Y237" s="1275"/>
      <c r="Z237" s="1275"/>
      <c r="AA237" s="1275"/>
      <c r="AB237" s="1275"/>
      <c r="AC237" s="1275"/>
      <c r="AD237" s="1275"/>
      <c r="AE237" s="1275"/>
      <c r="AF237" s="1275"/>
      <c r="AG237" s="1275"/>
      <c r="AH237" s="1275"/>
      <c r="AI237" s="1275"/>
    </row>
    <row r="238" spans="1:35" s="162" customFormat="1" x14ac:dyDescent="0.2">
      <c r="A238" s="1275" t="s">
        <v>74</v>
      </c>
      <c r="B238" s="1340" t="s">
        <v>168</v>
      </c>
      <c r="C238" s="1275"/>
      <c r="D238" s="1275"/>
      <c r="E238" s="1275"/>
      <c r="F238" s="1275"/>
      <c r="G238" s="1275"/>
      <c r="H238" s="1275"/>
      <c r="I238" s="1275"/>
      <c r="J238" s="1275"/>
      <c r="K238" s="1275"/>
      <c r="L238" s="1275"/>
      <c r="M238" s="1275"/>
      <c r="N238" s="1275"/>
      <c r="O238" s="1275"/>
      <c r="P238" s="1275"/>
      <c r="Q238" s="1275"/>
      <c r="R238" s="1275"/>
      <c r="S238" s="1275"/>
      <c r="T238" s="1275"/>
      <c r="U238" s="1275"/>
      <c r="V238" s="1275"/>
      <c r="W238" s="1275"/>
      <c r="X238" s="1275"/>
      <c r="Y238" s="1275"/>
      <c r="Z238" s="1275"/>
      <c r="AA238" s="1275"/>
      <c r="AB238" s="1275"/>
      <c r="AC238" s="1275"/>
      <c r="AD238" s="1275"/>
      <c r="AE238" s="1275"/>
      <c r="AF238" s="1275"/>
      <c r="AG238" s="1275"/>
      <c r="AH238" s="1275"/>
      <c r="AI238" s="1275"/>
    </row>
    <row r="239" spans="1:35" s="162" customFormat="1" x14ac:dyDescent="0.2">
      <c r="A239" s="1275" t="s">
        <v>75</v>
      </c>
      <c r="B239" s="1340" t="s">
        <v>76</v>
      </c>
      <c r="C239" s="1275"/>
      <c r="D239" s="1275"/>
      <c r="E239" s="1275"/>
      <c r="F239" s="1275"/>
      <c r="G239" s="1275"/>
      <c r="H239" s="1275"/>
      <c r="I239" s="1275"/>
      <c r="J239" s="1275"/>
      <c r="K239" s="1275"/>
      <c r="L239" s="1275"/>
      <c r="M239" s="1275"/>
      <c r="N239" s="1275"/>
      <c r="O239" s="1275"/>
      <c r="P239" s="1275"/>
      <c r="Q239" s="1275"/>
      <c r="R239" s="1275"/>
      <c r="S239" s="1275"/>
      <c r="T239" s="1275"/>
      <c r="U239" s="1275"/>
      <c r="V239" s="1275"/>
      <c r="W239" s="1275"/>
      <c r="X239" s="1275"/>
      <c r="Y239" s="1275"/>
      <c r="Z239" s="1275"/>
      <c r="AA239" s="1275"/>
      <c r="AB239" s="1275"/>
      <c r="AC239" s="1275"/>
      <c r="AD239" s="1275"/>
      <c r="AE239" s="1275"/>
      <c r="AF239" s="1275"/>
      <c r="AG239" s="1275"/>
      <c r="AH239" s="1275"/>
      <c r="AI239" s="1275"/>
    </row>
    <row r="240" spans="1:35" s="162" customFormat="1" x14ac:dyDescent="0.2">
      <c r="A240" s="1275" t="s">
        <v>77</v>
      </c>
      <c r="B240" s="1340" t="s">
        <v>78</v>
      </c>
      <c r="C240" s="1275"/>
      <c r="D240" s="1275"/>
      <c r="E240" s="1275"/>
      <c r="F240" s="1275"/>
      <c r="G240" s="1275"/>
      <c r="H240" s="1275"/>
      <c r="I240" s="1275"/>
      <c r="J240" s="1275"/>
      <c r="K240" s="1275"/>
      <c r="L240" s="1275"/>
      <c r="M240" s="1275"/>
      <c r="N240" s="1275"/>
      <c r="O240" s="1275"/>
      <c r="P240" s="1275"/>
      <c r="Q240" s="1275"/>
      <c r="R240" s="1275"/>
      <c r="S240" s="1275"/>
      <c r="T240" s="1275"/>
      <c r="U240" s="1275"/>
      <c r="V240" s="1275"/>
      <c r="W240" s="1275"/>
      <c r="X240" s="1275"/>
      <c r="Y240" s="1275"/>
      <c r="Z240" s="1275"/>
      <c r="AA240" s="1275"/>
      <c r="AB240" s="1275"/>
      <c r="AC240" s="1275"/>
      <c r="AD240" s="1275"/>
      <c r="AE240" s="1275"/>
      <c r="AF240" s="1275"/>
      <c r="AG240" s="1275"/>
      <c r="AH240" s="1275"/>
      <c r="AI240" s="1275"/>
    </row>
    <row r="241" spans="1:35" s="162" customFormat="1" x14ac:dyDescent="0.2">
      <c r="A241" s="1275" t="s">
        <v>79</v>
      </c>
      <c r="B241" s="1340" t="s">
        <v>80</v>
      </c>
      <c r="C241" s="1275"/>
      <c r="D241" s="1275"/>
      <c r="E241" s="1275"/>
      <c r="F241" s="1275"/>
      <c r="G241" s="1275"/>
      <c r="H241" s="1275"/>
      <c r="I241" s="1275"/>
      <c r="J241" s="1275"/>
      <c r="K241" s="1275"/>
      <c r="L241" s="1275"/>
      <c r="M241" s="1275"/>
      <c r="N241" s="1275"/>
      <c r="O241" s="1275"/>
      <c r="P241" s="1275"/>
      <c r="Q241" s="1275"/>
      <c r="R241" s="1275"/>
      <c r="S241" s="1275"/>
      <c r="T241" s="1275"/>
      <c r="U241" s="1275"/>
      <c r="V241" s="1275"/>
      <c r="W241" s="1275"/>
      <c r="X241" s="1275"/>
      <c r="Y241" s="1275"/>
      <c r="Z241" s="1275"/>
      <c r="AA241" s="1275"/>
      <c r="AB241" s="1275"/>
      <c r="AC241" s="1275"/>
      <c r="AD241" s="1275"/>
      <c r="AE241" s="1275"/>
      <c r="AF241" s="1275"/>
      <c r="AG241" s="1275"/>
      <c r="AH241" s="1275"/>
      <c r="AI241" s="1275"/>
    </row>
    <row r="242" spans="1:35" s="162" customFormat="1" x14ac:dyDescent="0.2">
      <c r="A242" s="1275"/>
      <c r="B242" s="1340" t="s">
        <v>81</v>
      </c>
      <c r="C242" s="1275"/>
      <c r="D242" s="1275"/>
      <c r="E242" s="1275"/>
      <c r="F242" s="1275"/>
      <c r="G242" s="1275"/>
      <c r="H242" s="1275"/>
      <c r="I242" s="1275"/>
      <c r="J242" s="1275"/>
      <c r="K242" s="1275"/>
      <c r="L242" s="1275"/>
      <c r="M242" s="1275"/>
      <c r="N242" s="1275"/>
      <c r="O242" s="1275"/>
      <c r="P242" s="1275"/>
      <c r="Q242" s="1275"/>
      <c r="R242" s="1275"/>
      <c r="S242" s="1275"/>
      <c r="T242" s="1275"/>
      <c r="U242" s="1275"/>
      <c r="V242" s="1275"/>
      <c r="W242" s="1275"/>
      <c r="X242" s="1275"/>
      <c r="Y242" s="1275"/>
      <c r="Z242" s="1275"/>
      <c r="AA242" s="1275"/>
      <c r="AB242" s="1275"/>
      <c r="AC242" s="1275"/>
      <c r="AD242" s="1275"/>
      <c r="AE242" s="1275"/>
      <c r="AF242" s="1275"/>
      <c r="AG242" s="1275"/>
      <c r="AH242" s="1275"/>
      <c r="AI242" s="1275"/>
    </row>
    <row r="243" spans="1:35" s="162" customFormat="1" x14ac:dyDescent="0.2">
      <c r="A243" s="1275" t="s">
        <v>82</v>
      </c>
      <c r="B243" s="1340" t="s">
        <v>159</v>
      </c>
      <c r="C243" s="1275"/>
      <c r="D243" s="1275"/>
      <c r="E243" s="1275"/>
      <c r="F243" s="1275"/>
      <c r="G243" s="1275"/>
      <c r="H243" s="1275"/>
      <c r="I243" s="1275"/>
      <c r="J243" s="1275"/>
      <c r="K243" s="1275"/>
      <c r="L243" s="1275"/>
      <c r="M243" s="1275"/>
      <c r="N243" s="1275"/>
      <c r="O243" s="1275"/>
      <c r="P243" s="1275"/>
      <c r="Q243" s="1275"/>
      <c r="R243" s="1275"/>
      <c r="S243" s="1275"/>
      <c r="T243" s="1275"/>
      <c r="U243" s="1275"/>
      <c r="V243" s="1275"/>
      <c r="W243" s="1275"/>
      <c r="X243" s="1275"/>
      <c r="Y243" s="1275"/>
      <c r="Z243" s="1275"/>
      <c r="AA243" s="1275"/>
      <c r="AB243" s="1275"/>
      <c r="AC243" s="1275"/>
      <c r="AD243" s="1275"/>
      <c r="AE243" s="1275"/>
      <c r="AF243" s="1275"/>
      <c r="AG243" s="1275"/>
      <c r="AH243" s="1275"/>
      <c r="AI243" s="1275"/>
    </row>
    <row r="244" spans="1:35" s="162" customFormat="1" x14ac:dyDescent="0.2">
      <c r="A244" s="1275"/>
      <c r="B244" s="1340" t="s">
        <v>83</v>
      </c>
      <c r="C244" s="1275"/>
      <c r="D244" s="1275"/>
      <c r="E244" s="1275"/>
      <c r="F244" s="1275"/>
      <c r="G244" s="1275"/>
      <c r="H244" s="1275"/>
      <c r="I244" s="1275"/>
      <c r="J244" s="1275"/>
      <c r="K244" s="1275"/>
      <c r="L244" s="1275"/>
      <c r="M244" s="1275"/>
      <c r="N244" s="1275"/>
      <c r="O244" s="1275"/>
      <c r="P244" s="1275"/>
      <c r="Q244" s="1275"/>
      <c r="R244" s="1275"/>
      <c r="S244" s="1275"/>
      <c r="T244" s="1275"/>
      <c r="U244" s="1275"/>
      <c r="V244" s="1275"/>
      <c r="W244" s="1275"/>
      <c r="X244" s="1275"/>
      <c r="Y244" s="1275"/>
      <c r="Z244" s="1275"/>
      <c r="AA244" s="1275"/>
      <c r="AB244" s="1275"/>
      <c r="AC244" s="1275"/>
      <c r="AD244" s="1275"/>
      <c r="AE244" s="1275"/>
      <c r="AF244" s="1275"/>
      <c r="AG244" s="1275"/>
      <c r="AH244" s="1275"/>
      <c r="AI244" s="1275"/>
    </row>
    <row r="245" spans="1:35" s="162" customFormat="1" x14ac:dyDescent="0.2">
      <c r="A245" s="1275"/>
      <c r="B245" s="1340" t="s">
        <v>84</v>
      </c>
      <c r="C245" s="1275"/>
      <c r="D245" s="1275"/>
      <c r="E245" s="1275"/>
      <c r="F245" s="1275"/>
      <c r="G245" s="1275"/>
      <c r="H245" s="1275"/>
      <c r="I245" s="1275"/>
      <c r="J245" s="1275"/>
      <c r="K245" s="1275"/>
      <c r="L245" s="1275"/>
      <c r="M245" s="1275"/>
      <c r="N245" s="1275"/>
      <c r="O245" s="1275"/>
      <c r="P245" s="1275"/>
      <c r="Q245" s="1275"/>
      <c r="R245" s="1275"/>
      <c r="S245" s="1275"/>
      <c r="T245" s="1275"/>
      <c r="U245" s="1275"/>
      <c r="V245" s="1275"/>
      <c r="W245" s="1275"/>
      <c r="X245" s="1275"/>
      <c r="Y245" s="1275"/>
      <c r="Z245" s="1275"/>
      <c r="AA245" s="1275"/>
      <c r="AB245" s="1275"/>
      <c r="AC245" s="1275"/>
      <c r="AD245" s="1275"/>
      <c r="AE245" s="1275"/>
      <c r="AF245" s="1275"/>
      <c r="AG245" s="1275"/>
      <c r="AH245" s="1275"/>
      <c r="AI245" s="1275"/>
    </row>
    <row r="246" spans="1:35" s="162" customFormat="1" x14ac:dyDescent="0.2">
      <c r="A246" s="1275"/>
      <c r="B246" s="1340" t="s">
        <v>85</v>
      </c>
      <c r="C246" s="1275"/>
      <c r="D246" s="1275"/>
      <c r="E246" s="1275"/>
      <c r="F246" s="1275"/>
      <c r="G246" s="1275"/>
      <c r="H246" s="1275"/>
      <c r="I246" s="1275"/>
      <c r="J246" s="1275"/>
      <c r="K246" s="1275"/>
      <c r="L246" s="1275"/>
      <c r="M246" s="1275"/>
      <c r="N246" s="1275"/>
      <c r="O246" s="1275"/>
      <c r="P246" s="1275"/>
      <c r="Q246" s="1275"/>
      <c r="R246" s="1275"/>
      <c r="S246" s="1275"/>
      <c r="T246" s="1275"/>
      <c r="U246" s="1275"/>
      <c r="V246" s="1275"/>
      <c r="W246" s="1275"/>
      <c r="X246" s="1275"/>
      <c r="Y246" s="1275"/>
      <c r="Z246" s="1275"/>
      <c r="AA246" s="1275"/>
      <c r="AB246" s="1275"/>
      <c r="AC246" s="1275"/>
      <c r="AD246" s="1275"/>
      <c r="AE246" s="1275"/>
      <c r="AF246" s="1275"/>
      <c r="AG246" s="1275"/>
      <c r="AH246" s="1275"/>
      <c r="AI246" s="1275"/>
    </row>
    <row r="247" spans="1:35" s="162" customFormat="1" x14ac:dyDescent="0.2">
      <c r="A247" s="1275" t="s">
        <v>194</v>
      </c>
      <c r="B247" s="1340" t="s">
        <v>195</v>
      </c>
      <c r="C247" s="1275"/>
      <c r="D247" s="1275"/>
      <c r="E247" s="1275"/>
      <c r="F247" s="1275"/>
      <c r="G247" s="1275"/>
      <c r="H247" s="1275"/>
      <c r="I247" s="1275"/>
      <c r="J247" s="1275"/>
      <c r="K247" s="1275"/>
      <c r="L247" s="1275"/>
      <c r="M247" s="1275"/>
      <c r="N247" s="1275"/>
      <c r="O247" s="1275"/>
      <c r="P247" s="1275"/>
      <c r="Q247" s="1275"/>
      <c r="R247" s="1275"/>
      <c r="S247" s="1275"/>
      <c r="T247" s="1275"/>
      <c r="U247" s="1275"/>
      <c r="V247" s="1275"/>
      <c r="W247" s="1275"/>
      <c r="X247" s="1275"/>
      <c r="Y247" s="1275"/>
      <c r="Z247" s="1275"/>
      <c r="AA247" s="1275"/>
      <c r="AB247" s="1275"/>
      <c r="AC247" s="1275"/>
      <c r="AD247" s="1275"/>
      <c r="AE247" s="1275"/>
      <c r="AF247" s="1275"/>
      <c r="AG247" s="1275"/>
      <c r="AH247" s="1275"/>
      <c r="AI247" s="1275"/>
    </row>
    <row r="248" spans="1:35" s="162" customFormat="1" x14ac:dyDescent="0.2">
      <c r="A248" s="1275" t="s">
        <v>196</v>
      </c>
      <c r="B248" s="1340" t="s">
        <v>164</v>
      </c>
      <c r="C248" s="1275"/>
      <c r="D248" s="1275"/>
      <c r="E248" s="1275"/>
      <c r="F248" s="1275"/>
      <c r="G248" s="1275"/>
      <c r="H248" s="1275"/>
      <c r="I248" s="1275"/>
      <c r="J248" s="1275"/>
      <c r="K248" s="1275"/>
      <c r="L248" s="1275"/>
      <c r="M248" s="1275"/>
      <c r="N248" s="1275"/>
      <c r="O248" s="1275"/>
      <c r="P248" s="1275"/>
      <c r="Q248" s="1275"/>
      <c r="R248" s="1275"/>
      <c r="S248" s="1275"/>
      <c r="T248" s="1275"/>
      <c r="U248" s="1275"/>
      <c r="V248" s="1275"/>
      <c r="W248" s="1275"/>
      <c r="X248" s="1275"/>
      <c r="Y248" s="1275"/>
      <c r="Z248" s="1275"/>
      <c r="AA248" s="1275"/>
      <c r="AB248" s="1275"/>
      <c r="AC248" s="1275"/>
      <c r="AD248" s="1275"/>
      <c r="AE248" s="1275"/>
      <c r="AF248" s="1275"/>
      <c r="AG248" s="1275"/>
      <c r="AH248" s="1275"/>
      <c r="AI248" s="1275"/>
    </row>
    <row r="249" spans="1:35" s="162" customFormat="1" x14ac:dyDescent="0.2">
      <c r="A249" s="1275" t="s">
        <v>197</v>
      </c>
      <c r="B249" s="1340" t="s">
        <v>160</v>
      </c>
      <c r="C249" s="1275"/>
      <c r="D249" s="1275"/>
      <c r="E249" s="1275"/>
      <c r="F249" s="1275"/>
      <c r="G249" s="1275"/>
      <c r="H249" s="1275"/>
      <c r="I249" s="1275"/>
      <c r="J249" s="1275"/>
      <c r="K249" s="1275"/>
      <c r="L249" s="1275"/>
      <c r="M249" s="1275"/>
      <c r="N249" s="1275"/>
      <c r="O249" s="1275"/>
      <c r="P249" s="1275"/>
      <c r="Q249" s="1275"/>
      <c r="R249" s="1275"/>
      <c r="S249" s="1275"/>
      <c r="T249" s="1275"/>
      <c r="U249" s="1275"/>
      <c r="V249" s="1275"/>
      <c r="W249" s="1275"/>
      <c r="X249" s="1275"/>
      <c r="Y249" s="1275"/>
      <c r="Z249" s="1275"/>
      <c r="AA249" s="1275"/>
      <c r="AB249" s="1275"/>
      <c r="AC249" s="1275"/>
      <c r="AD249" s="1275"/>
      <c r="AE249" s="1275"/>
      <c r="AF249" s="1275"/>
      <c r="AG249" s="1275"/>
      <c r="AH249" s="1275"/>
      <c r="AI249" s="1275"/>
    </row>
    <row r="250" spans="1:35" s="162" customFormat="1" x14ac:dyDescent="0.2">
      <c r="A250" s="1275"/>
      <c r="B250" s="1340" t="s">
        <v>83</v>
      </c>
      <c r="C250" s="1275"/>
      <c r="D250" s="1275"/>
      <c r="E250" s="1275"/>
      <c r="F250" s="1275"/>
      <c r="G250" s="1275"/>
      <c r="H250" s="1275"/>
      <c r="I250" s="1275"/>
      <c r="J250" s="1275"/>
      <c r="K250" s="1275"/>
      <c r="L250" s="1275"/>
      <c r="M250" s="1275"/>
      <c r="N250" s="1275"/>
      <c r="O250" s="1275"/>
      <c r="P250" s="1275"/>
      <c r="Q250" s="1275"/>
      <c r="R250" s="1275"/>
      <c r="S250" s="1275"/>
      <c r="T250" s="1275"/>
      <c r="U250" s="1275"/>
      <c r="V250" s="1275"/>
      <c r="W250" s="1275"/>
      <c r="X250" s="1275"/>
      <c r="Y250" s="1275"/>
      <c r="Z250" s="1275"/>
      <c r="AA250" s="1275"/>
      <c r="AB250" s="1275"/>
      <c r="AC250" s="1275"/>
      <c r="AD250" s="1275"/>
      <c r="AE250" s="1275"/>
      <c r="AF250" s="1275"/>
      <c r="AG250" s="1275"/>
      <c r="AH250" s="1275"/>
      <c r="AI250" s="1275"/>
    </row>
    <row r="251" spans="1:35" s="162" customFormat="1" x14ac:dyDescent="0.2">
      <c r="A251" s="1275"/>
      <c r="B251" s="1340" t="s">
        <v>84</v>
      </c>
      <c r="C251" s="1275"/>
      <c r="D251" s="1275"/>
      <c r="E251" s="1275"/>
      <c r="F251" s="1275"/>
      <c r="G251" s="1275"/>
      <c r="H251" s="1275"/>
      <c r="I251" s="1275"/>
      <c r="J251" s="1275"/>
      <c r="K251" s="1275"/>
      <c r="L251" s="1275"/>
      <c r="M251" s="1275"/>
      <c r="N251" s="1275"/>
      <c r="O251" s="1275"/>
      <c r="P251" s="1275"/>
      <c r="Q251" s="1275"/>
      <c r="R251" s="1275"/>
      <c r="S251" s="1275"/>
      <c r="T251" s="1275"/>
      <c r="U251" s="1275"/>
      <c r="V251" s="1275"/>
      <c r="W251" s="1275"/>
      <c r="X251" s="1275"/>
      <c r="Y251" s="1275"/>
      <c r="Z251" s="1275"/>
      <c r="AA251" s="1275"/>
      <c r="AB251" s="1275"/>
      <c r="AC251" s="1275"/>
      <c r="AD251" s="1275"/>
      <c r="AE251" s="1275"/>
      <c r="AF251" s="1275"/>
      <c r="AG251" s="1275"/>
      <c r="AH251" s="1275"/>
      <c r="AI251" s="1275"/>
    </row>
    <row r="252" spans="1:35" s="162" customFormat="1" x14ac:dyDescent="0.2">
      <c r="A252" s="1275"/>
      <c r="B252" s="1340" t="s">
        <v>123</v>
      </c>
      <c r="C252" s="1275"/>
      <c r="D252" s="1275"/>
      <c r="E252" s="1275"/>
      <c r="F252" s="1275"/>
      <c r="G252" s="1275"/>
      <c r="H252" s="1275"/>
      <c r="I252" s="1275"/>
      <c r="J252" s="1275"/>
      <c r="K252" s="1275"/>
      <c r="L252" s="1275"/>
      <c r="M252" s="1275"/>
      <c r="N252" s="1275"/>
      <c r="O252" s="1275"/>
      <c r="P252" s="1275"/>
      <c r="Q252" s="1275"/>
      <c r="R252" s="1275"/>
      <c r="S252" s="1275"/>
      <c r="T252" s="1275"/>
      <c r="U252" s="1275"/>
      <c r="V252" s="1275"/>
      <c r="W252" s="1275"/>
      <c r="X252" s="1275"/>
      <c r="Y252" s="1275"/>
      <c r="Z252" s="1275"/>
      <c r="AA252" s="1275"/>
      <c r="AB252" s="1275"/>
      <c r="AC252" s="1275"/>
      <c r="AD252" s="1275"/>
      <c r="AE252" s="1275"/>
      <c r="AF252" s="1275"/>
      <c r="AG252" s="1275"/>
      <c r="AH252" s="1275"/>
      <c r="AI252" s="1275"/>
    </row>
    <row r="253" spans="1:35" s="162" customFormat="1" x14ac:dyDescent="0.2">
      <c r="A253" s="1275" t="s">
        <v>206</v>
      </c>
      <c r="B253" s="1340" t="s">
        <v>207</v>
      </c>
      <c r="C253" s="1275"/>
      <c r="D253" s="1275"/>
      <c r="E253" s="1275"/>
      <c r="F253" s="1275"/>
      <c r="G253" s="1275"/>
      <c r="H253" s="1275"/>
      <c r="I253" s="1275"/>
      <c r="J253" s="1275"/>
      <c r="K253" s="1275"/>
      <c r="L253" s="1275"/>
      <c r="M253" s="1275"/>
      <c r="N253" s="1275"/>
      <c r="O253" s="1275"/>
      <c r="P253" s="1275"/>
      <c r="Q253" s="1275"/>
      <c r="R253" s="1275"/>
      <c r="S253" s="1275"/>
      <c r="T253" s="1275"/>
      <c r="U253" s="1275"/>
      <c r="V253" s="1275"/>
      <c r="W253" s="1275"/>
      <c r="X253" s="1275"/>
      <c r="Y253" s="1275"/>
      <c r="Z253" s="1275"/>
      <c r="AA253" s="1275"/>
      <c r="AB253" s="1275"/>
      <c r="AC253" s="1275"/>
      <c r="AD253" s="1275"/>
      <c r="AE253" s="1275"/>
      <c r="AF253" s="1275"/>
      <c r="AG253" s="1275"/>
      <c r="AH253" s="1275"/>
      <c r="AI253" s="1275"/>
    </row>
    <row r="254" spans="1:35" s="162" customFormat="1" x14ac:dyDescent="0.2">
      <c r="A254" s="1275" t="s">
        <v>204</v>
      </c>
      <c r="B254" s="1340" t="s">
        <v>200</v>
      </c>
      <c r="C254" s="1275"/>
      <c r="D254" s="1275"/>
      <c r="E254" s="1275"/>
      <c r="F254" s="1275"/>
      <c r="G254" s="1275"/>
      <c r="H254" s="1275"/>
      <c r="I254" s="1275"/>
      <c r="J254" s="1275"/>
      <c r="K254" s="1275"/>
      <c r="L254" s="1275"/>
      <c r="M254" s="1275"/>
      <c r="N254" s="1275"/>
      <c r="O254" s="1275"/>
      <c r="P254" s="1275"/>
      <c r="Q254" s="1275"/>
      <c r="R254" s="1275"/>
      <c r="S254" s="1275"/>
      <c r="T254" s="1275"/>
      <c r="U254" s="1275"/>
      <c r="V254" s="1275"/>
      <c r="W254" s="1275"/>
      <c r="X254" s="1275"/>
      <c r="Y254" s="1275"/>
      <c r="Z254" s="1275"/>
      <c r="AA254" s="1275"/>
      <c r="AB254" s="1275"/>
      <c r="AC254" s="1275"/>
      <c r="AD254" s="1275"/>
      <c r="AE254" s="1275"/>
      <c r="AF254" s="1275"/>
      <c r="AG254" s="1275"/>
      <c r="AH254" s="1275"/>
      <c r="AI254" s="1275"/>
    </row>
    <row r="255" spans="1:35" s="162" customFormat="1" x14ac:dyDescent="0.2">
      <c r="A255" s="1275" t="s">
        <v>205</v>
      </c>
      <c r="B255" s="1340" t="s">
        <v>208</v>
      </c>
      <c r="C255" s="1275"/>
      <c r="D255" s="1275"/>
      <c r="E255" s="1275"/>
      <c r="F255" s="1275"/>
      <c r="G255" s="1275"/>
      <c r="H255" s="1275"/>
      <c r="I255" s="1275"/>
      <c r="J255" s="1275"/>
      <c r="K255" s="1275"/>
      <c r="L255" s="1275"/>
      <c r="M255" s="1275"/>
      <c r="N255" s="1275"/>
      <c r="O255" s="1275"/>
      <c r="P255" s="1275"/>
      <c r="Q255" s="1275"/>
      <c r="R255" s="1275"/>
      <c r="S255" s="1275"/>
      <c r="T255" s="1275"/>
      <c r="U255" s="1275"/>
      <c r="V255" s="1275"/>
      <c r="W255" s="1275"/>
      <c r="X255" s="1275"/>
      <c r="Y255" s="1275"/>
      <c r="Z255" s="1275"/>
      <c r="AA255" s="1275"/>
      <c r="AB255" s="1275"/>
      <c r="AC255" s="1275"/>
      <c r="AD255" s="1275"/>
      <c r="AE255" s="1275"/>
      <c r="AF255" s="1275"/>
      <c r="AG255" s="1275"/>
      <c r="AH255" s="1275"/>
      <c r="AI255" s="1275"/>
    </row>
    <row r="256" spans="1:35" s="162" customFormat="1" x14ac:dyDescent="0.2"/>
    <row r="259" spans="1:35" x14ac:dyDescent="0.2">
      <c r="A259" s="173" t="s">
        <v>460</v>
      </c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9"/>
      <c r="AC259" s="149"/>
      <c r="AD259" s="151"/>
      <c r="AE259" s="151"/>
      <c r="AF259" s="151"/>
      <c r="AG259" s="151"/>
      <c r="AH259" s="151"/>
      <c r="AI259" s="151"/>
    </row>
    <row r="260" spans="1:35" ht="12.75" thickBot="1" x14ac:dyDescent="0.25">
      <c r="A260" s="15" t="s">
        <v>1396</v>
      </c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</row>
    <row r="261" spans="1:35" ht="12.75" thickBot="1" x14ac:dyDescent="0.25">
      <c r="A261" s="1467" t="s">
        <v>50</v>
      </c>
      <c r="B261" s="1489" t="s">
        <v>351</v>
      </c>
      <c r="C261" s="1489"/>
      <c r="D261" s="1489"/>
      <c r="E261" s="1489"/>
      <c r="F261" s="1489"/>
      <c r="G261" s="1489"/>
      <c r="H261" s="1489"/>
      <c r="I261" s="1489"/>
      <c r="J261" s="1489"/>
      <c r="K261" s="1489"/>
      <c r="L261" s="1489"/>
      <c r="M261" s="1489"/>
      <c r="N261" s="1489"/>
      <c r="O261" s="1489"/>
      <c r="P261" s="1489"/>
      <c r="Q261" s="1490" t="s">
        <v>440</v>
      </c>
      <c r="R261" s="1489"/>
      <c r="S261" s="1489"/>
      <c r="T261" s="1489"/>
      <c r="U261" s="1489"/>
      <c r="V261" s="1489"/>
      <c r="W261" s="1489"/>
      <c r="X261" s="1489"/>
      <c r="Y261" s="1489"/>
      <c r="Z261" s="1489"/>
      <c r="AA261" s="1489"/>
      <c r="AB261" s="1489"/>
      <c r="AC261" s="1489"/>
      <c r="AD261" s="1489"/>
      <c r="AE261" s="1491"/>
      <c r="AF261" s="1485" t="s">
        <v>442</v>
      </c>
      <c r="AG261" s="1486"/>
      <c r="AH261" s="1485" t="s">
        <v>441</v>
      </c>
      <c r="AI261" s="1486"/>
    </row>
    <row r="262" spans="1:35" ht="140.25" x14ac:dyDescent="0.2">
      <c r="A262" s="1487"/>
      <c r="B262" s="245" t="s">
        <v>11</v>
      </c>
      <c r="C262" s="246" t="s">
        <v>153</v>
      </c>
      <c r="D262" s="247" t="s">
        <v>279</v>
      </c>
      <c r="E262" s="247" t="s">
        <v>155</v>
      </c>
      <c r="F262" s="247" t="s">
        <v>190</v>
      </c>
      <c r="G262" s="247" t="s">
        <v>191</v>
      </c>
      <c r="H262" s="247" t="s">
        <v>192</v>
      </c>
      <c r="I262" s="247" t="s">
        <v>193</v>
      </c>
      <c r="J262" s="247" t="s">
        <v>156</v>
      </c>
      <c r="K262" s="247" t="s">
        <v>157</v>
      </c>
      <c r="L262" s="247" t="s">
        <v>158</v>
      </c>
      <c r="M262" s="247" t="s">
        <v>189</v>
      </c>
      <c r="N262" s="248" t="s">
        <v>125</v>
      </c>
      <c r="O262" s="249" t="s">
        <v>163</v>
      </c>
      <c r="P262" s="250" t="s">
        <v>162</v>
      </c>
      <c r="Q262" s="245" t="s">
        <v>11</v>
      </c>
      <c r="R262" s="246" t="s">
        <v>153</v>
      </c>
      <c r="S262" s="247" t="s">
        <v>154</v>
      </c>
      <c r="T262" s="247" t="s">
        <v>155</v>
      </c>
      <c r="U262" s="247" t="s">
        <v>190</v>
      </c>
      <c r="V262" s="247" t="s">
        <v>191</v>
      </c>
      <c r="W262" s="247" t="s">
        <v>192</v>
      </c>
      <c r="X262" s="247" t="s">
        <v>193</v>
      </c>
      <c r="Y262" s="247" t="s">
        <v>156</v>
      </c>
      <c r="Z262" s="247" t="s">
        <v>157</v>
      </c>
      <c r="AA262" s="247" t="s">
        <v>158</v>
      </c>
      <c r="AB262" s="247" t="s">
        <v>189</v>
      </c>
      <c r="AC262" s="248" t="s">
        <v>125</v>
      </c>
      <c r="AD262" s="249" t="s">
        <v>163</v>
      </c>
      <c r="AE262" s="250" t="s">
        <v>352</v>
      </c>
      <c r="AF262" s="251" t="s">
        <v>167</v>
      </c>
      <c r="AG262" s="251" t="s">
        <v>166</v>
      </c>
      <c r="AH262" s="251" t="s">
        <v>11</v>
      </c>
      <c r="AI262" s="250" t="s">
        <v>353</v>
      </c>
    </row>
    <row r="263" spans="1:35" ht="12.75" thickBot="1" x14ac:dyDescent="0.25">
      <c r="A263" s="1488"/>
      <c r="B263" s="252" t="s">
        <v>51</v>
      </c>
      <c r="C263" s="253" t="s">
        <v>52</v>
      </c>
      <c r="D263" s="254" t="s">
        <v>53</v>
      </c>
      <c r="E263" s="254" t="s">
        <v>54</v>
      </c>
      <c r="F263" s="255" t="s">
        <v>55</v>
      </c>
      <c r="G263" s="255" t="s">
        <v>56</v>
      </c>
      <c r="H263" s="255" t="s">
        <v>86</v>
      </c>
      <c r="I263" s="255" t="s">
        <v>124</v>
      </c>
      <c r="J263" s="255" t="s">
        <v>161</v>
      </c>
      <c r="K263" s="255" t="s">
        <v>165</v>
      </c>
      <c r="L263" s="255" t="s">
        <v>198</v>
      </c>
      <c r="M263" s="255" t="s">
        <v>199</v>
      </c>
      <c r="N263" s="256" t="s">
        <v>201</v>
      </c>
      <c r="O263" s="257" t="s">
        <v>202</v>
      </c>
      <c r="P263" s="258" t="s">
        <v>203</v>
      </c>
      <c r="Q263" s="252" t="s">
        <v>51</v>
      </c>
      <c r="R263" s="253" t="s">
        <v>52</v>
      </c>
      <c r="S263" s="254" t="s">
        <v>53</v>
      </c>
      <c r="T263" s="254" t="s">
        <v>54</v>
      </c>
      <c r="U263" s="255" t="s">
        <v>55</v>
      </c>
      <c r="V263" s="255" t="s">
        <v>56</v>
      </c>
      <c r="W263" s="255" t="s">
        <v>86</v>
      </c>
      <c r="X263" s="255" t="s">
        <v>124</v>
      </c>
      <c r="Y263" s="255" t="s">
        <v>161</v>
      </c>
      <c r="Z263" s="255" t="s">
        <v>165</v>
      </c>
      <c r="AA263" s="255" t="s">
        <v>198</v>
      </c>
      <c r="AB263" s="255" t="s">
        <v>199</v>
      </c>
      <c r="AC263" s="256" t="s">
        <v>201</v>
      </c>
      <c r="AD263" s="257" t="s">
        <v>202</v>
      </c>
      <c r="AE263" s="258" t="s">
        <v>203</v>
      </c>
      <c r="AF263" s="259"/>
      <c r="AG263" s="252"/>
      <c r="AH263" s="259"/>
      <c r="AI263" s="252"/>
    </row>
    <row r="264" spans="1:35" x14ac:dyDescent="0.2">
      <c r="A264" s="55"/>
      <c r="B264" s="59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62"/>
      <c r="O264" s="62"/>
      <c r="P264" s="17"/>
      <c r="Q264" s="16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62"/>
      <c r="AD264" s="62"/>
      <c r="AE264" s="17"/>
      <c r="AF264" s="17"/>
      <c r="AG264" s="16"/>
      <c r="AH264" s="17"/>
      <c r="AI264" s="16"/>
    </row>
    <row r="265" spans="1:35" x14ac:dyDescent="0.2">
      <c r="A265" s="16" t="s">
        <v>57</v>
      </c>
      <c r="B265" s="59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62"/>
      <c r="O265" s="600"/>
      <c r="P265" s="601"/>
      <c r="Q265" s="60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62"/>
      <c r="AD265" s="62"/>
      <c r="AE265" s="17"/>
      <c r="AF265" s="17"/>
      <c r="AG265" s="16"/>
      <c r="AH265" s="17"/>
      <c r="AI265" s="16"/>
    </row>
    <row r="266" spans="1:35" ht="12.75" x14ac:dyDescent="0.2">
      <c r="A266" s="603" t="s">
        <v>1450</v>
      </c>
      <c r="B266" s="604">
        <f>SUM(B267:B271)</f>
        <v>34</v>
      </c>
      <c r="C266" s="605">
        <f t="shared" ref="C266:N266" si="18">SUM(C267:C271)</f>
        <v>6843.7</v>
      </c>
      <c r="D266" s="605">
        <f t="shared" si="18"/>
        <v>19297.5</v>
      </c>
      <c r="E266" s="605">
        <f t="shared" si="18"/>
        <v>0</v>
      </c>
      <c r="F266" s="605">
        <f t="shared" si="18"/>
        <v>0</v>
      </c>
      <c r="G266" s="605">
        <f t="shared" si="18"/>
        <v>0</v>
      </c>
      <c r="H266" s="605">
        <f t="shared" si="18"/>
        <v>0</v>
      </c>
      <c r="I266" s="605">
        <f t="shared" si="18"/>
        <v>0</v>
      </c>
      <c r="J266" s="605">
        <f t="shared" si="18"/>
        <v>0</v>
      </c>
      <c r="K266" s="605"/>
      <c r="L266" s="605"/>
      <c r="M266" s="605">
        <f t="shared" si="18"/>
        <v>0</v>
      </c>
      <c r="N266" s="605">
        <f t="shared" si="18"/>
        <v>5000</v>
      </c>
      <c r="O266" s="606"/>
      <c r="P266" s="607"/>
      <c r="Q266" s="608">
        <v>37</v>
      </c>
      <c r="R266" s="609">
        <f>SUM(R267:R271)</f>
        <v>6843.7</v>
      </c>
      <c r="S266" s="610">
        <f t="shared" ref="S266:Y266" si="19">SUM(S267:S271)</f>
        <v>19297.5</v>
      </c>
      <c r="T266" s="610">
        <f t="shared" si="19"/>
        <v>0</v>
      </c>
      <c r="U266" s="610">
        <f t="shared" si="19"/>
        <v>0</v>
      </c>
      <c r="V266" s="610">
        <f t="shared" si="19"/>
        <v>0</v>
      </c>
      <c r="W266" s="610">
        <f t="shared" si="19"/>
        <v>0</v>
      </c>
      <c r="X266" s="610">
        <f t="shared" si="19"/>
        <v>0</v>
      </c>
      <c r="Y266" s="610">
        <f t="shared" si="19"/>
        <v>0</v>
      </c>
      <c r="Z266" s="610"/>
      <c r="AA266" s="610"/>
      <c r="AB266" s="610"/>
      <c r="AC266" s="610"/>
      <c r="AD266" s="610"/>
      <c r="AE266" s="610"/>
      <c r="AF266" s="611"/>
      <c r="AG266" s="611"/>
      <c r="AH266" s="612"/>
      <c r="AI266" s="611"/>
    </row>
    <row r="267" spans="1:35" ht="12.75" x14ac:dyDescent="0.2">
      <c r="A267" s="613" t="s">
        <v>1399</v>
      </c>
      <c r="B267" s="614">
        <v>1</v>
      </c>
      <c r="C267" s="647">
        <v>1524.85</v>
      </c>
      <c r="D267" s="623">
        <v>7595.5</v>
      </c>
      <c r="E267" s="647">
        <v>0</v>
      </c>
      <c r="F267" s="647">
        <v>0</v>
      </c>
      <c r="G267" s="647">
        <v>0</v>
      </c>
      <c r="H267" s="647">
        <v>0</v>
      </c>
      <c r="I267" s="647">
        <v>0</v>
      </c>
      <c r="J267" s="647">
        <v>0</v>
      </c>
      <c r="K267" s="623">
        <f>SUM(C267:J267)</f>
        <v>9120.35</v>
      </c>
      <c r="L267" s="623">
        <v>600</v>
      </c>
      <c r="M267" s="647">
        <v>0</v>
      </c>
      <c r="N267" s="624">
        <v>1000</v>
      </c>
      <c r="O267" s="625">
        <f>(K267*12)+N267</f>
        <v>110444.20000000001</v>
      </c>
      <c r="P267" s="626">
        <f>B267*O267</f>
        <v>110444.20000000001</v>
      </c>
      <c r="Q267" s="648">
        <v>1</v>
      </c>
      <c r="R267" s="623">
        <v>1524.85</v>
      </c>
      <c r="S267" s="623">
        <v>7595.5</v>
      </c>
      <c r="T267" s="623">
        <v>0</v>
      </c>
      <c r="U267" s="623">
        <v>0</v>
      </c>
      <c r="V267" s="623">
        <v>0</v>
      </c>
      <c r="W267" s="623">
        <v>0</v>
      </c>
      <c r="X267" s="623">
        <v>0</v>
      </c>
      <c r="Y267" s="623">
        <v>0</v>
      </c>
      <c r="Z267" s="623">
        <f>SUM(R267:Y267)</f>
        <v>9120.35</v>
      </c>
      <c r="AA267" s="623">
        <v>600</v>
      </c>
      <c r="AB267" s="623">
        <v>0</v>
      </c>
      <c r="AC267" s="624">
        <v>600</v>
      </c>
      <c r="AD267" s="625">
        <f>(Z267*12)+AC267</f>
        <v>110044.20000000001</v>
      </c>
      <c r="AE267" s="626">
        <f>Q267*AD267</f>
        <v>110044.20000000001</v>
      </c>
      <c r="AF267" s="627">
        <f t="shared" ref="AF267:AG287" si="20">+AD267-O267</f>
        <v>-400</v>
      </c>
      <c r="AG267" s="627">
        <f t="shared" si="20"/>
        <v>-400</v>
      </c>
      <c r="AH267" s="628">
        <v>1</v>
      </c>
      <c r="AI267" s="627">
        <f>+AH267*AD267</f>
        <v>110044.20000000001</v>
      </c>
    </row>
    <row r="268" spans="1:35" ht="12.75" x14ac:dyDescent="0.2">
      <c r="A268" s="613" t="s">
        <v>1400</v>
      </c>
      <c r="B268" s="614">
        <v>13</v>
      </c>
      <c r="C268" s="647">
        <v>1468.37</v>
      </c>
      <c r="D268" s="647">
        <v>5595.5</v>
      </c>
      <c r="E268" s="647">
        <v>0</v>
      </c>
      <c r="F268" s="647">
        <v>0</v>
      </c>
      <c r="G268" s="647">
        <v>0</v>
      </c>
      <c r="H268" s="647">
        <v>0</v>
      </c>
      <c r="I268" s="647">
        <v>0</v>
      </c>
      <c r="J268" s="647">
        <v>0</v>
      </c>
      <c r="K268" s="623">
        <f t="shared" ref="K268:K271" si="21">SUM(C268:J268)</f>
        <v>7063.87</v>
      </c>
      <c r="L268" s="647">
        <v>1000</v>
      </c>
      <c r="M268" s="647">
        <v>0</v>
      </c>
      <c r="N268" s="624">
        <f>SUM(L268:M268)</f>
        <v>1000</v>
      </c>
      <c r="O268" s="625">
        <f t="shared" ref="O268:O271" si="22">(K268*12)+N268</f>
        <v>85766.44</v>
      </c>
      <c r="P268" s="626">
        <f t="shared" ref="P268:P271" si="23">B268*O268</f>
        <v>1114963.72</v>
      </c>
      <c r="Q268" s="648">
        <v>15</v>
      </c>
      <c r="R268" s="623">
        <v>1468.37</v>
      </c>
      <c r="S268" s="623">
        <v>5595.5</v>
      </c>
      <c r="T268" s="623">
        <v>0</v>
      </c>
      <c r="U268" s="623">
        <v>0</v>
      </c>
      <c r="V268" s="623">
        <v>0</v>
      </c>
      <c r="W268" s="623">
        <v>0</v>
      </c>
      <c r="X268" s="623">
        <v>0</v>
      </c>
      <c r="Y268" s="623">
        <v>0</v>
      </c>
      <c r="Z268" s="623">
        <f t="shared" ref="Z268:Z271" si="24">SUM(R268:Y268)</f>
        <v>7063.87</v>
      </c>
      <c r="AA268" s="623">
        <v>1000</v>
      </c>
      <c r="AB268" s="623">
        <v>0</v>
      </c>
      <c r="AC268" s="624">
        <v>1000</v>
      </c>
      <c r="AD268" s="625">
        <f t="shared" ref="AD268:AD271" si="25">(Z268*12)+AC268</f>
        <v>85766.44</v>
      </c>
      <c r="AE268" s="626">
        <f t="shared" ref="AE268:AE271" si="26">Q268*AD268</f>
        <v>1286496.6000000001</v>
      </c>
      <c r="AF268" s="627">
        <f t="shared" si="20"/>
        <v>0</v>
      </c>
      <c r="AG268" s="627">
        <f t="shared" si="20"/>
        <v>171532.88000000012</v>
      </c>
      <c r="AH268" s="628">
        <v>14</v>
      </c>
      <c r="AI268" s="627">
        <f>+AH268*AD268</f>
        <v>1200730.1600000001</v>
      </c>
    </row>
    <row r="269" spans="1:35" ht="12.75" x14ac:dyDescent="0.2">
      <c r="A269" s="613" t="s">
        <v>1401</v>
      </c>
      <c r="B269" s="614">
        <v>17</v>
      </c>
      <c r="C269" s="647">
        <v>1394.97</v>
      </c>
      <c r="D269" s="647">
        <v>3595.5</v>
      </c>
      <c r="E269" s="647">
        <v>0</v>
      </c>
      <c r="F269" s="647">
        <v>0</v>
      </c>
      <c r="G269" s="647">
        <v>0</v>
      </c>
      <c r="H269" s="647">
        <v>0</v>
      </c>
      <c r="I269" s="647">
        <v>0</v>
      </c>
      <c r="J269" s="647">
        <v>0</v>
      </c>
      <c r="K269" s="623">
        <f t="shared" si="21"/>
        <v>4990.47</v>
      </c>
      <c r="L269" s="647">
        <v>1000</v>
      </c>
      <c r="M269" s="647">
        <v>0</v>
      </c>
      <c r="N269" s="624">
        <f t="shared" ref="N269:N271" si="27">SUM(L269:M269)</f>
        <v>1000</v>
      </c>
      <c r="O269" s="625">
        <f t="shared" si="22"/>
        <v>60885.64</v>
      </c>
      <c r="P269" s="626">
        <f t="shared" si="23"/>
        <v>1035055.88</v>
      </c>
      <c r="Q269" s="648">
        <v>18</v>
      </c>
      <c r="R269" s="623">
        <v>1394.97</v>
      </c>
      <c r="S269" s="623">
        <v>3595.5</v>
      </c>
      <c r="T269" s="623">
        <v>0</v>
      </c>
      <c r="U269" s="623">
        <v>0</v>
      </c>
      <c r="V269" s="623">
        <v>0</v>
      </c>
      <c r="W269" s="623">
        <v>0</v>
      </c>
      <c r="X269" s="623">
        <v>0</v>
      </c>
      <c r="Y269" s="623">
        <v>0</v>
      </c>
      <c r="Z269" s="623">
        <f t="shared" si="24"/>
        <v>4990.47</v>
      </c>
      <c r="AA269" s="623">
        <v>1000</v>
      </c>
      <c r="AB269" s="623">
        <v>0</v>
      </c>
      <c r="AC269" s="624">
        <v>1000</v>
      </c>
      <c r="AD269" s="625">
        <f t="shared" si="25"/>
        <v>60885.64</v>
      </c>
      <c r="AE269" s="626">
        <f t="shared" si="26"/>
        <v>1095941.52</v>
      </c>
      <c r="AF269" s="627">
        <f t="shared" si="20"/>
        <v>0</v>
      </c>
      <c r="AG269" s="627">
        <f t="shared" si="20"/>
        <v>60885.640000000014</v>
      </c>
      <c r="AH269" s="628">
        <v>18</v>
      </c>
      <c r="AI269" s="627">
        <f>+AH269*AD269</f>
        <v>1095941.52</v>
      </c>
    </row>
    <row r="270" spans="1:35" ht="12.75" x14ac:dyDescent="0.2">
      <c r="A270" s="613" t="s">
        <v>1402</v>
      </c>
      <c r="B270" s="614">
        <v>2</v>
      </c>
      <c r="C270" s="647">
        <v>1265.47</v>
      </c>
      <c r="D270" s="647">
        <v>1255.5</v>
      </c>
      <c r="E270" s="647">
        <v>0</v>
      </c>
      <c r="F270" s="647">
        <v>0</v>
      </c>
      <c r="G270" s="647">
        <v>0</v>
      </c>
      <c r="H270" s="647">
        <v>0</v>
      </c>
      <c r="I270" s="647">
        <v>0</v>
      </c>
      <c r="J270" s="647">
        <v>0</v>
      </c>
      <c r="K270" s="623">
        <f t="shared" si="21"/>
        <v>2520.9700000000003</v>
      </c>
      <c r="L270" s="647">
        <v>1000</v>
      </c>
      <c r="M270" s="647">
        <v>0</v>
      </c>
      <c r="N270" s="624">
        <f t="shared" si="27"/>
        <v>1000</v>
      </c>
      <c r="O270" s="625">
        <f t="shared" si="22"/>
        <v>31251.640000000003</v>
      </c>
      <c r="P270" s="626">
        <f t="shared" si="23"/>
        <v>62503.280000000006</v>
      </c>
      <c r="Q270" s="648">
        <v>2</v>
      </c>
      <c r="R270" s="623">
        <v>1265.47</v>
      </c>
      <c r="S270" s="623">
        <v>1255.5</v>
      </c>
      <c r="T270" s="623">
        <v>0</v>
      </c>
      <c r="U270" s="623">
        <v>0</v>
      </c>
      <c r="V270" s="623">
        <v>0</v>
      </c>
      <c r="W270" s="623">
        <v>0</v>
      </c>
      <c r="X270" s="623">
        <v>0</v>
      </c>
      <c r="Y270" s="623">
        <v>0</v>
      </c>
      <c r="Z270" s="623">
        <f t="shared" si="24"/>
        <v>2520.9700000000003</v>
      </c>
      <c r="AA270" s="623">
        <v>1000</v>
      </c>
      <c r="AB270" s="623">
        <v>0</v>
      </c>
      <c r="AC270" s="624">
        <v>1000</v>
      </c>
      <c r="AD270" s="625">
        <f t="shared" si="25"/>
        <v>31251.640000000003</v>
      </c>
      <c r="AE270" s="626">
        <f t="shared" si="26"/>
        <v>62503.280000000006</v>
      </c>
      <c r="AF270" s="627">
        <f t="shared" si="20"/>
        <v>0</v>
      </c>
      <c r="AG270" s="627">
        <f t="shared" si="20"/>
        <v>0</v>
      </c>
      <c r="AH270" s="628">
        <v>2</v>
      </c>
      <c r="AI270" s="627">
        <f>+AH270*AD270</f>
        <v>62503.280000000006</v>
      </c>
    </row>
    <row r="271" spans="1:35" ht="12.75" x14ac:dyDescent="0.2">
      <c r="A271" s="613" t="s">
        <v>13</v>
      </c>
      <c r="B271" s="614">
        <v>1</v>
      </c>
      <c r="C271" s="647">
        <v>1190.04</v>
      </c>
      <c r="D271" s="647">
        <v>1255.5</v>
      </c>
      <c r="E271" s="647">
        <v>0</v>
      </c>
      <c r="F271" s="647">
        <v>0</v>
      </c>
      <c r="G271" s="647">
        <v>0</v>
      </c>
      <c r="H271" s="647">
        <v>0</v>
      </c>
      <c r="I271" s="647">
        <v>0</v>
      </c>
      <c r="J271" s="647">
        <v>0</v>
      </c>
      <c r="K271" s="623">
        <f t="shared" si="21"/>
        <v>2445.54</v>
      </c>
      <c r="L271" s="647">
        <v>1000</v>
      </c>
      <c r="M271" s="647">
        <v>0</v>
      </c>
      <c r="N271" s="624">
        <f t="shared" si="27"/>
        <v>1000</v>
      </c>
      <c r="O271" s="625">
        <f t="shared" si="22"/>
        <v>30346.48</v>
      </c>
      <c r="P271" s="626">
        <f t="shared" si="23"/>
        <v>30346.48</v>
      </c>
      <c r="Q271" s="648">
        <v>1</v>
      </c>
      <c r="R271" s="623">
        <v>1190.04</v>
      </c>
      <c r="S271" s="623">
        <v>1255.5</v>
      </c>
      <c r="T271" s="623">
        <v>0</v>
      </c>
      <c r="U271" s="623">
        <v>0</v>
      </c>
      <c r="V271" s="623">
        <v>0</v>
      </c>
      <c r="W271" s="623">
        <v>0</v>
      </c>
      <c r="X271" s="623">
        <v>0</v>
      </c>
      <c r="Y271" s="623">
        <v>0</v>
      </c>
      <c r="Z271" s="623">
        <f t="shared" si="24"/>
        <v>2445.54</v>
      </c>
      <c r="AA271" s="623">
        <v>1000</v>
      </c>
      <c r="AB271" s="623">
        <v>0</v>
      </c>
      <c r="AC271" s="624">
        <v>1000</v>
      </c>
      <c r="AD271" s="625">
        <f t="shared" si="25"/>
        <v>30346.48</v>
      </c>
      <c r="AE271" s="626">
        <f t="shared" si="26"/>
        <v>30346.48</v>
      </c>
      <c r="AF271" s="627">
        <f t="shared" si="20"/>
        <v>0</v>
      </c>
      <c r="AG271" s="627">
        <f t="shared" si="20"/>
        <v>0</v>
      </c>
      <c r="AH271" s="628">
        <v>1</v>
      </c>
      <c r="AI271" s="627">
        <f>+AH271*AD271</f>
        <v>30346.48</v>
      </c>
    </row>
    <row r="272" spans="1:35" ht="12.75" x14ac:dyDescent="0.2">
      <c r="A272" s="603" t="s">
        <v>4</v>
      </c>
      <c r="B272" s="615">
        <f>SUM(B273:B278)</f>
        <v>46</v>
      </c>
      <c r="C272" s="649">
        <f>SUM(C273:C278)</f>
        <v>3771.9400000000005</v>
      </c>
      <c r="D272" s="650">
        <f>SUM(D273:D278)</f>
        <v>5022</v>
      </c>
      <c r="E272" s="649">
        <v>0</v>
      </c>
      <c r="F272" s="649">
        <v>0</v>
      </c>
      <c r="G272" s="649">
        <v>0</v>
      </c>
      <c r="H272" s="649">
        <v>0</v>
      </c>
      <c r="I272" s="649">
        <v>0</v>
      </c>
      <c r="J272" s="633">
        <f>SUM(J273:J278)</f>
        <v>0</v>
      </c>
      <c r="K272" s="633"/>
      <c r="L272" s="633"/>
      <c r="M272" s="633">
        <f>SUM(M273:M278)</f>
        <v>0</v>
      </c>
      <c r="N272" s="651"/>
      <c r="O272" s="652"/>
      <c r="P272" s="653"/>
      <c r="Q272" s="654">
        <v>48</v>
      </c>
      <c r="R272" s="629">
        <v>3771.9400000000005</v>
      </c>
      <c r="S272" s="629">
        <v>5022</v>
      </c>
      <c r="T272" s="629">
        <v>0</v>
      </c>
      <c r="U272" s="610">
        <v>0</v>
      </c>
      <c r="V272" s="610">
        <v>0</v>
      </c>
      <c r="W272" s="610">
        <v>0</v>
      </c>
      <c r="X272" s="610">
        <v>0</v>
      </c>
      <c r="Y272" s="610">
        <v>0</v>
      </c>
      <c r="Z272" s="610"/>
      <c r="AA272" s="610"/>
      <c r="AB272" s="610"/>
      <c r="AC272" s="616"/>
      <c r="AD272" s="616"/>
      <c r="AE272" s="616"/>
      <c r="AF272" s="611"/>
      <c r="AG272" s="611"/>
      <c r="AH272" s="612"/>
      <c r="AI272" s="611"/>
    </row>
    <row r="273" spans="1:35" ht="12.75" x14ac:dyDescent="0.2">
      <c r="A273" s="613" t="s">
        <v>1451</v>
      </c>
      <c r="B273" s="614"/>
      <c r="C273" s="647"/>
      <c r="D273" s="643"/>
      <c r="E273" s="647">
        <v>0</v>
      </c>
      <c r="F273" s="647">
        <v>0</v>
      </c>
      <c r="G273" s="647">
        <v>0</v>
      </c>
      <c r="H273" s="647">
        <v>0</v>
      </c>
      <c r="I273" s="647">
        <v>0</v>
      </c>
      <c r="J273" s="647">
        <v>0</v>
      </c>
      <c r="K273" s="623">
        <f t="shared" ref="K273:L278" si="28">SUM(C273:J273)</f>
        <v>0</v>
      </c>
      <c r="L273" s="623">
        <f t="shared" si="28"/>
        <v>0</v>
      </c>
      <c r="M273" s="647">
        <v>0</v>
      </c>
      <c r="N273" s="624">
        <f t="shared" ref="N273:N278" si="29">SUM(L273:M273)</f>
        <v>0</v>
      </c>
      <c r="O273" s="625"/>
      <c r="P273" s="626"/>
      <c r="Q273" s="648"/>
      <c r="R273" s="623"/>
      <c r="S273" s="623"/>
      <c r="T273" s="623">
        <v>0</v>
      </c>
      <c r="U273" s="623">
        <v>0</v>
      </c>
      <c r="V273" s="623">
        <v>0</v>
      </c>
      <c r="W273" s="623">
        <v>0</v>
      </c>
      <c r="X273" s="623">
        <v>0</v>
      </c>
      <c r="Y273" s="623">
        <v>0</v>
      </c>
      <c r="Z273" s="623">
        <v>0</v>
      </c>
      <c r="AA273" s="623">
        <v>0</v>
      </c>
      <c r="AB273" s="623">
        <v>0</v>
      </c>
      <c r="AC273" s="624">
        <v>0</v>
      </c>
      <c r="AD273" s="625">
        <f t="shared" ref="AD273:AD278" si="30">(Z273*12)+AC273</f>
        <v>0</v>
      </c>
      <c r="AE273" s="626">
        <f t="shared" ref="AE273:AE278" si="31">Q273*AD273</f>
        <v>0</v>
      </c>
      <c r="AF273" s="627">
        <f t="shared" si="20"/>
        <v>0</v>
      </c>
      <c r="AG273" s="627">
        <f t="shared" si="20"/>
        <v>0</v>
      </c>
      <c r="AH273" s="628"/>
      <c r="AI273" s="627">
        <f t="shared" ref="AI273:AI278" si="32">+AH273*AD273</f>
        <v>0</v>
      </c>
    </row>
    <row r="274" spans="1:35" ht="12.75" x14ac:dyDescent="0.2">
      <c r="A274" s="613" t="s">
        <v>1452</v>
      </c>
      <c r="B274" s="614"/>
      <c r="C274" s="647"/>
      <c r="D274" s="643"/>
      <c r="E274" s="647">
        <v>0</v>
      </c>
      <c r="F274" s="647">
        <v>0</v>
      </c>
      <c r="G274" s="647">
        <v>0</v>
      </c>
      <c r="H274" s="647">
        <v>0</v>
      </c>
      <c r="I274" s="647">
        <v>0</v>
      </c>
      <c r="J274" s="647">
        <v>0</v>
      </c>
      <c r="K274" s="623">
        <f t="shared" si="28"/>
        <v>0</v>
      </c>
      <c r="L274" s="623">
        <f t="shared" si="28"/>
        <v>0</v>
      </c>
      <c r="M274" s="647">
        <v>0</v>
      </c>
      <c r="N274" s="624">
        <f t="shared" si="29"/>
        <v>0</v>
      </c>
      <c r="O274" s="625"/>
      <c r="P274" s="626"/>
      <c r="Q274" s="648"/>
      <c r="R274" s="623"/>
      <c r="S274" s="623"/>
      <c r="T274" s="623">
        <v>0</v>
      </c>
      <c r="U274" s="623">
        <v>0</v>
      </c>
      <c r="V274" s="623">
        <v>0</v>
      </c>
      <c r="W274" s="623">
        <v>0</v>
      </c>
      <c r="X274" s="623">
        <v>0</v>
      </c>
      <c r="Y274" s="623">
        <v>0</v>
      </c>
      <c r="Z274" s="623">
        <v>0</v>
      </c>
      <c r="AA274" s="623">
        <v>0</v>
      </c>
      <c r="AB274" s="623">
        <v>0</v>
      </c>
      <c r="AC274" s="624">
        <v>0</v>
      </c>
      <c r="AD274" s="625">
        <f t="shared" si="30"/>
        <v>0</v>
      </c>
      <c r="AE274" s="626">
        <f t="shared" si="31"/>
        <v>0</v>
      </c>
      <c r="AF274" s="627">
        <f t="shared" si="20"/>
        <v>0</v>
      </c>
      <c r="AG274" s="627">
        <f t="shared" si="20"/>
        <v>0</v>
      </c>
      <c r="AH274" s="628"/>
      <c r="AI274" s="627">
        <f t="shared" si="32"/>
        <v>0</v>
      </c>
    </row>
    <row r="275" spans="1:35" ht="12.75" x14ac:dyDescent="0.2">
      <c r="A275" s="613" t="s">
        <v>1453</v>
      </c>
      <c r="B275" s="614">
        <v>1</v>
      </c>
      <c r="C275" s="655">
        <v>980.3</v>
      </c>
      <c r="D275" s="647">
        <v>1255.5</v>
      </c>
      <c r="E275" s="647">
        <v>0</v>
      </c>
      <c r="F275" s="647">
        <v>0</v>
      </c>
      <c r="G275" s="647">
        <v>0</v>
      </c>
      <c r="H275" s="647">
        <v>0</v>
      </c>
      <c r="I275" s="647">
        <v>0</v>
      </c>
      <c r="J275" s="647">
        <v>0</v>
      </c>
      <c r="K275" s="623">
        <f t="shared" si="28"/>
        <v>2235.8000000000002</v>
      </c>
      <c r="L275" s="647">
        <v>1000</v>
      </c>
      <c r="M275" s="647">
        <v>0</v>
      </c>
      <c r="N275" s="624">
        <f t="shared" si="29"/>
        <v>1000</v>
      </c>
      <c r="O275" s="625">
        <f t="shared" ref="O275:O278" si="33">(K275*12)+N275</f>
        <v>27829.600000000002</v>
      </c>
      <c r="P275" s="626">
        <f t="shared" ref="P275:P278" si="34">B275*O275</f>
        <v>27829.600000000002</v>
      </c>
      <c r="Q275" s="648">
        <v>1</v>
      </c>
      <c r="R275" s="623">
        <v>980.3</v>
      </c>
      <c r="S275" s="623">
        <v>1255.5</v>
      </c>
      <c r="T275" s="623">
        <v>0</v>
      </c>
      <c r="U275" s="623">
        <v>0</v>
      </c>
      <c r="V275" s="623">
        <v>0</v>
      </c>
      <c r="W275" s="623">
        <v>0</v>
      </c>
      <c r="X275" s="623">
        <v>0</v>
      </c>
      <c r="Y275" s="623">
        <v>0</v>
      </c>
      <c r="Z275" s="623">
        <f t="shared" ref="Z275:Z278" si="35">SUM(R275:Y275)</f>
        <v>2235.8000000000002</v>
      </c>
      <c r="AA275" s="623">
        <v>1000</v>
      </c>
      <c r="AB275" s="623">
        <v>0</v>
      </c>
      <c r="AC275" s="624">
        <v>1000</v>
      </c>
      <c r="AD275" s="625">
        <f t="shared" si="30"/>
        <v>27829.600000000002</v>
      </c>
      <c r="AE275" s="626">
        <f t="shared" si="31"/>
        <v>27829.600000000002</v>
      </c>
      <c r="AF275" s="627">
        <f t="shared" si="20"/>
        <v>0</v>
      </c>
      <c r="AG275" s="627">
        <f t="shared" si="20"/>
        <v>0</v>
      </c>
      <c r="AH275" s="628">
        <v>1</v>
      </c>
      <c r="AI275" s="627">
        <f t="shared" si="32"/>
        <v>27829.600000000002</v>
      </c>
    </row>
    <row r="276" spans="1:35" ht="12.75" x14ac:dyDescent="0.2">
      <c r="A276" s="613" t="s">
        <v>1454</v>
      </c>
      <c r="B276" s="614">
        <v>22</v>
      </c>
      <c r="C276" s="655">
        <v>955.41</v>
      </c>
      <c r="D276" s="647">
        <v>1255.5</v>
      </c>
      <c r="E276" s="647">
        <v>0</v>
      </c>
      <c r="F276" s="647">
        <v>0</v>
      </c>
      <c r="G276" s="647">
        <v>0</v>
      </c>
      <c r="H276" s="647">
        <v>0</v>
      </c>
      <c r="I276" s="647">
        <v>0</v>
      </c>
      <c r="J276" s="647">
        <v>0</v>
      </c>
      <c r="K276" s="623">
        <f t="shared" si="28"/>
        <v>2210.91</v>
      </c>
      <c r="L276" s="647">
        <v>1000</v>
      </c>
      <c r="M276" s="647">
        <v>0</v>
      </c>
      <c r="N276" s="624">
        <f t="shared" si="29"/>
        <v>1000</v>
      </c>
      <c r="O276" s="625">
        <f t="shared" si="33"/>
        <v>27530.92</v>
      </c>
      <c r="P276" s="626">
        <f t="shared" si="34"/>
        <v>605680.24</v>
      </c>
      <c r="Q276" s="648">
        <v>24</v>
      </c>
      <c r="R276" s="623">
        <v>955.41</v>
      </c>
      <c r="S276" s="623">
        <v>1255.5</v>
      </c>
      <c r="T276" s="623">
        <v>0</v>
      </c>
      <c r="U276" s="623">
        <v>0</v>
      </c>
      <c r="V276" s="623">
        <v>0</v>
      </c>
      <c r="W276" s="623">
        <v>0</v>
      </c>
      <c r="X276" s="623">
        <v>0</v>
      </c>
      <c r="Y276" s="623">
        <v>0</v>
      </c>
      <c r="Z276" s="623">
        <f t="shared" si="35"/>
        <v>2210.91</v>
      </c>
      <c r="AA276" s="623">
        <v>1000</v>
      </c>
      <c r="AB276" s="623">
        <v>0</v>
      </c>
      <c r="AC276" s="624">
        <v>1000</v>
      </c>
      <c r="AD276" s="625">
        <f t="shared" si="30"/>
        <v>27530.92</v>
      </c>
      <c r="AE276" s="626">
        <f t="shared" si="31"/>
        <v>660742.07999999996</v>
      </c>
      <c r="AF276" s="627">
        <f t="shared" si="20"/>
        <v>0</v>
      </c>
      <c r="AG276" s="627">
        <f t="shared" si="20"/>
        <v>55061.839999999967</v>
      </c>
      <c r="AH276" s="628">
        <v>24</v>
      </c>
      <c r="AI276" s="627">
        <f t="shared" si="32"/>
        <v>660742.07999999996</v>
      </c>
    </row>
    <row r="277" spans="1:35" ht="12.75" x14ac:dyDescent="0.2">
      <c r="A277" s="613" t="s">
        <v>1455</v>
      </c>
      <c r="B277" s="614">
        <v>3</v>
      </c>
      <c r="C277" s="655">
        <v>930.51</v>
      </c>
      <c r="D277" s="647">
        <v>1255.5</v>
      </c>
      <c r="E277" s="647">
        <v>0</v>
      </c>
      <c r="F277" s="647">
        <v>0</v>
      </c>
      <c r="G277" s="647">
        <v>0</v>
      </c>
      <c r="H277" s="647">
        <v>0</v>
      </c>
      <c r="I277" s="647">
        <v>0</v>
      </c>
      <c r="J277" s="647">
        <v>0</v>
      </c>
      <c r="K277" s="623">
        <f t="shared" si="28"/>
        <v>2186.0100000000002</v>
      </c>
      <c r="L277" s="647">
        <v>1000</v>
      </c>
      <c r="M277" s="647">
        <v>0</v>
      </c>
      <c r="N277" s="624">
        <f t="shared" si="29"/>
        <v>1000</v>
      </c>
      <c r="O277" s="625">
        <f t="shared" si="33"/>
        <v>27232.120000000003</v>
      </c>
      <c r="P277" s="626">
        <f t="shared" si="34"/>
        <v>81696.360000000015</v>
      </c>
      <c r="Q277" s="648">
        <v>3</v>
      </c>
      <c r="R277" s="623">
        <v>930.51</v>
      </c>
      <c r="S277" s="623">
        <v>1255.5</v>
      </c>
      <c r="T277" s="623">
        <v>0</v>
      </c>
      <c r="U277" s="623">
        <v>0</v>
      </c>
      <c r="V277" s="623">
        <v>0</v>
      </c>
      <c r="W277" s="623">
        <v>0</v>
      </c>
      <c r="X277" s="623">
        <v>0</v>
      </c>
      <c r="Y277" s="623">
        <v>0</v>
      </c>
      <c r="Z277" s="623">
        <f t="shared" si="35"/>
        <v>2186.0100000000002</v>
      </c>
      <c r="AA277" s="623">
        <v>1000</v>
      </c>
      <c r="AB277" s="623">
        <v>0</v>
      </c>
      <c r="AC277" s="624">
        <v>1000</v>
      </c>
      <c r="AD277" s="625">
        <f t="shared" si="30"/>
        <v>27232.120000000003</v>
      </c>
      <c r="AE277" s="626">
        <f t="shared" si="31"/>
        <v>81696.360000000015</v>
      </c>
      <c r="AF277" s="627">
        <f t="shared" si="20"/>
        <v>0</v>
      </c>
      <c r="AG277" s="627">
        <f t="shared" si="20"/>
        <v>0</v>
      </c>
      <c r="AH277" s="628">
        <v>3</v>
      </c>
      <c r="AI277" s="627">
        <f t="shared" si="32"/>
        <v>81696.360000000015</v>
      </c>
    </row>
    <row r="278" spans="1:35" ht="12.75" x14ac:dyDescent="0.2">
      <c r="A278" s="613" t="s">
        <v>1456</v>
      </c>
      <c r="B278" s="614">
        <v>20</v>
      </c>
      <c r="C278" s="655">
        <v>905.72</v>
      </c>
      <c r="D278" s="647">
        <v>1255.5</v>
      </c>
      <c r="E278" s="647">
        <v>0</v>
      </c>
      <c r="F278" s="647">
        <v>0</v>
      </c>
      <c r="G278" s="647">
        <v>0</v>
      </c>
      <c r="H278" s="647">
        <v>0</v>
      </c>
      <c r="I278" s="647">
        <v>0</v>
      </c>
      <c r="J278" s="647">
        <v>0</v>
      </c>
      <c r="K278" s="623">
        <f t="shared" si="28"/>
        <v>2161.2200000000003</v>
      </c>
      <c r="L278" s="647">
        <v>1000</v>
      </c>
      <c r="M278" s="647">
        <v>0</v>
      </c>
      <c r="N278" s="624">
        <f t="shared" si="29"/>
        <v>1000</v>
      </c>
      <c r="O278" s="625">
        <f t="shared" si="33"/>
        <v>26934.640000000003</v>
      </c>
      <c r="P278" s="626">
        <f t="shared" si="34"/>
        <v>538692.80000000005</v>
      </c>
      <c r="Q278" s="648">
        <v>20</v>
      </c>
      <c r="R278" s="623">
        <v>905.72</v>
      </c>
      <c r="S278" s="623">
        <v>1255.5</v>
      </c>
      <c r="T278" s="623">
        <v>0</v>
      </c>
      <c r="U278" s="623">
        <v>0</v>
      </c>
      <c r="V278" s="623">
        <v>0</v>
      </c>
      <c r="W278" s="623">
        <v>0</v>
      </c>
      <c r="X278" s="623">
        <v>0</v>
      </c>
      <c r="Y278" s="623">
        <v>0</v>
      </c>
      <c r="Z278" s="623">
        <f t="shared" si="35"/>
        <v>2161.2200000000003</v>
      </c>
      <c r="AA278" s="623">
        <v>1000</v>
      </c>
      <c r="AB278" s="623">
        <v>0</v>
      </c>
      <c r="AC278" s="624">
        <v>1000</v>
      </c>
      <c r="AD278" s="625">
        <f t="shared" si="30"/>
        <v>26934.640000000003</v>
      </c>
      <c r="AE278" s="626">
        <f t="shared" si="31"/>
        <v>538692.80000000005</v>
      </c>
      <c r="AF278" s="627">
        <f t="shared" si="20"/>
        <v>0</v>
      </c>
      <c r="AG278" s="627">
        <f t="shared" si="20"/>
        <v>0</v>
      </c>
      <c r="AH278" s="628">
        <v>20</v>
      </c>
      <c r="AI278" s="627">
        <f t="shared" si="32"/>
        <v>538692.80000000005</v>
      </c>
    </row>
    <row r="279" spans="1:35" ht="12.75" x14ac:dyDescent="0.2">
      <c r="A279" s="603" t="s">
        <v>5</v>
      </c>
      <c r="B279" s="615">
        <f>SUM(B280:B285)</f>
        <v>152</v>
      </c>
      <c r="C279" s="649">
        <f>SUM(C280:C285)</f>
        <v>5134.9599999999991</v>
      </c>
      <c r="D279" s="633">
        <f>SUM(D280:D285)</f>
        <v>7533</v>
      </c>
      <c r="E279" s="649">
        <v>0</v>
      </c>
      <c r="F279" s="649">
        <v>0</v>
      </c>
      <c r="G279" s="649">
        <v>0</v>
      </c>
      <c r="H279" s="649">
        <v>0</v>
      </c>
      <c r="I279" s="649">
        <v>0</v>
      </c>
      <c r="J279" s="633">
        <f>SUM(J280:J285)</f>
        <v>0</v>
      </c>
      <c r="K279" s="633"/>
      <c r="L279" s="633"/>
      <c r="M279" s="633">
        <f>SUM(M280:M285)</f>
        <v>0</v>
      </c>
      <c r="N279" s="651"/>
      <c r="O279" s="652"/>
      <c r="P279" s="653"/>
      <c r="Q279" s="654">
        <v>164</v>
      </c>
      <c r="R279" s="629">
        <v>5134.9599999999991</v>
      </c>
      <c r="S279" s="629">
        <v>7533</v>
      </c>
      <c r="T279" s="629">
        <v>0</v>
      </c>
      <c r="U279" s="629">
        <v>0</v>
      </c>
      <c r="V279" s="629">
        <v>0</v>
      </c>
      <c r="W279" s="629">
        <v>0</v>
      </c>
      <c r="X279" s="629">
        <v>0</v>
      </c>
      <c r="Y279" s="629">
        <v>0</v>
      </c>
      <c r="Z279" s="629"/>
      <c r="AA279" s="629"/>
      <c r="AB279" s="629"/>
      <c r="AC279" s="630"/>
      <c r="AD279" s="630"/>
      <c r="AE279" s="630"/>
      <c r="AF279" s="631"/>
      <c r="AG279" s="631"/>
      <c r="AH279" s="632"/>
      <c r="AI279" s="631"/>
    </row>
    <row r="280" spans="1:35" ht="12.75" x14ac:dyDescent="0.2">
      <c r="A280" s="613" t="s">
        <v>1457</v>
      </c>
      <c r="B280" s="614">
        <v>22</v>
      </c>
      <c r="C280" s="647">
        <v>875.25</v>
      </c>
      <c r="D280" s="647">
        <v>1255.5</v>
      </c>
      <c r="E280" s="647">
        <v>0</v>
      </c>
      <c r="F280" s="647">
        <v>0</v>
      </c>
      <c r="G280" s="647">
        <v>0</v>
      </c>
      <c r="H280" s="647">
        <v>0</v>
      </c>
      <c r="I280" s="647">
        <v>0</v>
      </c>
      <c r="J280" s="647">
        <v>0</v>
      </c>
      <c r="K280" s="623">
        <f t="shared" ref="K280:K285" si="36">SUM(C280:J280)</f>
        <v>2130.75</v>
      </c>
      <c r="L280" s="647">
        <v>1000</v>
      </c>
      <c r="M280" s="647">
        <v>0</v>
      </c>
      <c r="N280" s="624">
        <f t="shared" ref="N280:N285" si="37">SUM(L280:M280)</f>
        <v>1000</v>
      </c>
      <c r="O280" s="625">
        <f t="shared" ref="O280:O285" si="38">(K280*12)+N280</f>
        <v>26569</v>
      </c>
      <c r="P280" s="626">
        <f>B280*O280</f>
        <v>584518</v>
      </c>
      <c r="Q280" s="648">
        <v>22</v>
      </c>
      <c r="R280" s="623">
        <v>875.25</v>
      </c>
      <c r="S280" s="623">
        <v>1255.5</v>
      </c>
      <c r="T280" s="623">
        <v>0</v>
      </c>
      <c r="U280" s="623">
        <v>0</v>
      </c>
      <c r="V280" s="623">
        <v>0</v>
      </c>
      <c r="W280" s="623">
        <v>0</v>
      </c>
      <c r="X280" s="623">
        <v>0</v>
      </c>
      <c r="Y280" s="623">
        <v>0</v>
      </c>
      <c r="Z280" s="623">
        <f t="shared" ref="Z280:Z285" si="39">SUM(R280:Y280)</f>
        <v>2130.75</v>
      </c>
      <c r="AA280" s="623">
        <v>1000</v>
      </c>
      <c r="AB280" s="623">
        <v>0</v>
      </c>
      <c r="AC280" s="624">
        <v>1000</v>
      </c>
      <c r="AD280" s="625">
        <f t="shared" ref="AD280:AD285" si="40">(Z280*12)+AC280</f>
        <v>26569</v>
      </c>
      <c r="AE280" s="626">
        <f t="shared" ref="AE280:AE285" si="41">Q280*AD280</f>
        <v>584518</v>
      </c>
      <c r="AF280" s="627">
        <f t="shared" si="20"/>
        <v>0</v>
      </c>
      <c r="AG280" s="627">
        <f t="shared" si="20"/>
        <v>0</v>
      </c>
      <c r="AH280" s="628">
        <v>22</v>
      </c>
      <c r="AI280" s="627">
        <f t="shared" ref="AI280:AI285" si="42">+AH280*AD280</f>
        <v>584518</v>
      </c>
    </row>
    <row r="281" spans="1:35" ht="12.75" x14ac:dyDescent="0.2">
      <c r="A281" s="613" t="s">
        <v>1458</v>
      </c>
      <c r="B281" s="614">
        <v>25</v>
      </c>
      <c r="C281" s="647">
        <v>867.49</v>
      </c>
      <c r="D281" s="647">
        <v>1255.5</v>
      </c>
      <c r="E281" s="647">
        <v>0</v>
      </c>
      <c r="F281" s="647">
        <v>0</v>
      </c>
      <c r="G281" s="647">
        <v>0</v>
      </c>
      <c r="H281" s="647">
        <v>0</v>
      </c>
      <c r="I281" s="647">
        <v>0</v>
      </c>
      <c r="J281" s="647">
        <v>0</v>
      </c>
      <c r="K281" s="623">
        <f t="shared" si="36"/>
        <v>2122.9899999999998</v>
      </c>
      <c r="L281" s="647">
        <v>1000</v>
      </c>
      <c r="M281" s="647">
        <v>0</v>
      </c>
      <c r="N281" s="624">
        <f t="shared" si="37"/>
        <v>1000</v>
      </c>
      <c r="O281" s="625">
        <f t="shared" si="38"/>
        <v>26475.879999999997</v>
      </c>
      <c r="P281" s="626">
        <f t="shared" ref="P281:P285" si="43">B281*O281</f>
        <v>661896.99999999988</v>
      </c>
      <c r="Q281" s="648">
        <v>28</v>
      </c>
      <c r="R281" s="623">
        <v>867.49</v>
      </c>
      <c r="S281" s="623">
        <v>1255.5</v>
      </c>
      <c r="T281" s="623">
        <v>0</v>
      </c>
      <c r="U281" s="623">
        <v>0</v>
      </c>
      <c r="V281" s="623">
        <v>0</v>
      </c>
      <c r="W281" s="623">
        <v>0</v>
      </c>
      <c r="X281" s="623">
        <v>0</v>
      </c>
      <c r="Y281" s="623">
        <v>0</v>
      </c>
      <c r="Z281" s="623">
        <f t="shared" si="39"/>
        <v>2122.9899999999998</v>
      </c>
      <c r="AA281" s="623">
        <v>1000</v>
      </c>
      <c r="AB281" s="623">
        <v>0</v>
      </c>
      <c r="AC281" s="624">
        <v>1000</v>
      </c>
      <c r="AD281" s="625">
        <f t="shared" si="40"/>
        <v>26475.879999999997</v>
      </c>
      <c r="AE281" s="626">
        <f t="shared" si="41"/>
        <v>741324.6399999999</v>
      </c>
      <c r="AF281" s="627">
        <f t="shared" si="20"/>
        <v>0</v>
      </c>
      <c r="AG281" s="627">
        <f t="shared" si="20"/>
        <v>79427.640000000014</v>
      </c>
      <c r="AH281" s="628">
        <v>28</v>
      </c>
      <c r="AI281" s="627">
        <f t="shared" si="42"/>
        <v>741324.6399999999</v>
      </c>
    </row>
    <row r="282" spans="1:35" ht="12.75" x14ac:dyDescent="0.2">
      <c r="A282" s="613" t="s">
        <v>1459</v>
      </c>
      <c r="B282" s="614">
        <v>16</v>
      </c>
      <c r="C282" s="647">
        <v>859.71</v>
      </c>
      <c r="D282" s="647">
        <v>1255.5</v>
      </c>
      <c r="E282" s="647">
        <v>0</v>
      </c>
      <c r="F282" s="647">
        <v>0</v>
      </c>
      <c r="G282" s="647">
        <v>0</v>
      </c>
      <c r="H282" s="647">
        <v>0</v>
      </c>
      <c r="I282" s="647">
        <v>0</v>
      </c>
      <c r="J282" s="647">
        <v>0</v>
      </c>
      <c r="K282" s="623">
        <f t="shared" si="36"/>
        <v>2115.21</v>
      </c>
      <c r="L282" s="647">
        <v>1000</v>
      </c>
      <c r="M282" s="647">
        <v>0</v>
      </c>
      <c r="N282" s="624">
        <f t="shared" si="37"/>
        <v>1000</v>
      </c>
      <c r="O282" s="625">
        <f t="shared" si="38"/>
        <v>26382.52</v>
      </c>
      <c r="P282" s="626">
        <f t="shared" si="43"/>
        <v>422120.32</v>
      </c>
      <c r="Q282" s="648">
        <v>18</v>
      </c>
      <c r="R282" s="623">
        <v>859.71</v>
      </c>
      <c r="S282" s="623">
        <v>1255.5</v>
      </c>
      <c r="T282" s="623">
        <v>0</v>
      </c>
      <c r="U282" s="623">
        <v>0</v>
      </c>
      <c r="V282" s="623">
        <v>0</v>
      </c>
      <c r="W282" s="623">
        <v>0</v>
      </c>
      <c r="X282" s="623">
        <v>0</v>
      </c>
      <c r="Y282" s="623">
        <v>0</v>
      </c>
      <c r="Z282" s="623">
        <f t="shared" si="39"/>
        <v>2115.21</v>
      </c>
      <c r="AA282" s="623">
        <v>1000</v>
      </c>
      <c r="AB282" s="623">
        <v>0</v>
      </c>
      <c r="AC282" s="624">
        <v>1000</v>
      </c>
      <c r="AD282" s="625">
        <f t="shared" si="40"/>
        <v>26382.52</v>
      </c>
      <c r="AE282" s="626">
        <f t="shared" si="41"/>
        <v>474885.36</v>
      </c>
      <c r="AF282" s="627">
        <f t="shared" si="20"/>
        <v>0</v>
      </c>
      <c r="AG282" s="627">
        <f t="shared" si="20"/>
        <v>52765.039999999979</v>
      </c>
      <c r="AH282" s="628">
        <v>18</v>
      </c>
      <c r="AI282" s="627">
        <f t="shared" si="42"/>
        <v>474885.36</v>
      </c>
    </row>
    <row r="283" spans="1:35" ht="12.75" x14ac:dyDescent="0.2">
      <c r="A283" s="613" t="s">
        <v>1460</v>
      </c>
      <c r="B283" s="614">
        <v>65</v>
      </c>
      <c r="C283" s="647">
        <v>851.94</v>
      </c>
      <c r="D283" s="647">
        <v>1255.5</v>
      </c>
      <c r="E283" s="647">
        <v>0</v>
      </c>
      <c r="F283" s="647">
        <v>0</v>
      </c>
      <c r="G283" s="647">
        <v>0</v>
      </c>
      <c r="H283" s="647">
        <v>0</v>
      </c>
      <c r="I283" s="647">
        <v>0</v>
      </c>
      <c r="J283" s="647">
        <v>0</v>
      </c>
      <c r="K283" s="623">
        <f t="shared" si="36"/>
        <v>2107.44</v>
      </c>
      <c r="L283" s="647">
        <v>1000</v>
      </c>
      <c r="M283" s="647">
        <v>0</v>
      </c>
      <c r="N283" s="624">
        <f t="shared" si="37"/>
        <v>1000</v>
      </c>
      <c r="O283" s="625">
        <f t="shared" si="38"/>
        <v>26289.279999999999</v>
      </c>
      <c r="P283" s="626">
        <f t="shared" si="43"/>
        <v>1708803.2</v>
      </c>
      <c r="Q283" s="648">
        <v>67</v>
      </c>
      <c r="R283" s="623">
        <v>851.94</v>
      </c>
      <c r="S283" s="623">
        <v>1255.5</v>
      </c>
      <c r="T283" s="623">
        <v>0</v>
      </c>
      <c r="U283" s="623">
        <v>0</v>
      </c>
      <c r="V283" s="623">
        <v>0</v>
      </c>
      <c r="W283" s="623">
        <v>0</v>
      </c>
      <c r="X283" s="623">
        <v>0</v>
      </c>
      <c r="Y283" s="623">
        <v>0</v>
      </c>
      <c r="Z283" s="623">
        <f t="shared" si="39"/>
        <v>2107.44</v>
      </c>
      <c r="AA283" s="623">
        <v>1000</v>
      </c>
      <c r="AB283" s="623">
        <v>0</v>
      </c>
      <c r="AC283" s="624">
        <v>1000</v>
      </c>
      <c r="AD283" s="625">
        <f t="shared" si="40"/>
        <v>26289.279999999999</v>
      </c>
      <c r="AE283" s="626">
        <f t="shared" si="41"/>
        <v>1761381.76</v>
      </c>
      <c r="AF283" s="627">
        <f t="shared" si="20"/>
        <v>0</v>
      </c>
      <c r="AG283" s="627">
        <f t="shared" si="20"/>
        <v>52578.560000000056</v>
      </c>
      <c r="AH283" s="628">
        <v>67</v>
      </c>
      <c r="AI283" s="627">
        <f t="shared" si="42"/>
        <v>1761381.76</v>
      </c>
    </row>
    <row r="284" spans="1:35" ht="12.75" x14ac:dyDescent="0.2">
      <c r="A284" s="613" t="s">
        <v>1461</v>
      </c>
      <c r="B284" s="614">
        <v>14</v>
      </c>
      <c r="C284" s="647">
        <v>844.17000000000007</v>
      </c>
      <c r="D284" s="647">
        <v>1255.5</v>
      </c>
      <c r="E284" s="647">
        <v>0</v>
      </c>
      <c r="F284" s="647">
        <v>0</v>
      </c>
      <c r="G284" s="647">
        <v>0</v>
      </c>
      <c r="H284" s="647">
        <v>0</v>
      </c>
      <c r="I284" s="647">
        <v>0</v>
      </c>
      <c r="J284" s="647">
        <v>0</v>
      </c>
      <c r="K284" s="623">
        <f t="shared" si="36"/>
        <v>2099.67</v>
      </c>
      <c r="L284" s="647">
        <v>1000</v>
      </c>
      <c r="M284" s="647">
        <v>0</v>
      </c>
      <c r="N284" s="624">
        <f t="shared" si="37"/>
        <v>1000</v>
      </c>
      <c r="O284" s="625">
        <f t="shared" si="38"/>
        <v>26196.04</v>
      </c>
      <c r="P284" s="626">
        <f t="shared" si="43"/>
        <v>366744.56</v>
      </c>
      <c r="Q284" s="648">
        <v>14</v>
      </c>
      <c r="R284" s="623">
        <v>844.17000000000007</v>
      </c>
      <c r="S284" s="623">
        <v>1255.5</v>
      </c>
      <c r="T284" s="623">
        <v>0</v>
      </c>
      <c r="U284" s="623">
        <v>0</v>
      </c>
      <c r="V284" s="623">
        <v>0</v>
      </c>
      <c r="W284" s="623">
        <v>0</v>
      </c>
      <c r="X284" s="623">
        <v>0</v>
      </c>
      <c r="Y284" s="623">
        <v>0</v>
      </c>
      <c r="Z284" s="623">
        <f t="shared" si="39"/>
        <v>2099.67</v>
      </c>
      <c r="AA284" s="623">
        <v>1000</v>
      </c>
      <c r="AB284" s="623">
        <v>0</v>
      </c>
      <c r="AC284" s="624">
        <v>1000</v>
      </c>
      <c r="AD284" s="625">
        <f t="shared" si="40"/>
        <v>26196.04</v>
      </c>
      <c r="AE284" s="626">
        <f t="shared" si="41"/>
        <v>366744.56</v>
      </c>
      <c r="AF284" s="627">
        <f t="shared" si="20"/>
        <v>0</v>
      </c>
      <c r="AG284" s="627">
        <f t="shared" si="20"/>
        <v>0</v>
      </c>
      <c r="AH284" s="628">
        <v>14</v>
      </c>
      <c r="AI284" s="627">
        <f t="shared" si="42"/>
        <v>366744.56</v>
      </c>
    </row>
    <row r="285" spans="1:35" ht="12.75" x14ac:dyDescent="0.2">
      <c r="A285" s="613" t="s">
        <v>1462</v>
      </c>
      <c r="B285" s="614">
        <v>10</v>
      </c>
      <c r="C285" s="647">
        <v>836.40000000000009</v>
      </c>
      <c r="D285" s="647">
        <v>1255.5</v>
      </c>
      <c r="E285" s="647">
        <v>0</v>
      </c>
      <c r="F285" s="647">
        <v>0</v>
      </c>
      <c r="G285" s="647">
        <v>0</v>
      </c>
      <c r="H285" s="647">
        <v>0</v>
      </c>
      <c r="I285" s="647">
        <v>0</v>
      </c>
      <c r="J285" s="647">
        <v>0</v>
      </c>
      <c r="K285" s="623">
        <f t="shared" si="36"/>
        <v>2091.9</v>
      </c>
      <c r="L285" s="647">
        <v>1000</v>
      </c>
      <c r="M285" s="647">
        <v>0</v>
      </c>
      <c r="N285" s="624">
        <f t="shared" si="37"/>
        <v>1000</v>
      </c>
      <c r="O285" s="625">
        <f t="shared" si="38"/>
        <v>26102.800000000003</v>
      </c>
      <c r="P285" s="626">
        <f t="shared" si="43"/>
        <v>261028.00000000003</v>
      </c>
      <c r="Q285" s="648">
        <v>15</v>
      </c>
      <c r="R285" s="623">
        <v>836.40000000000009</v>
      </c>
      <c r="S285" s="623">
        <v>1255.5</v>
      </c>
      <c r="T285" s="623">
        <v>0</v>
      </c>
      <c r="U285" s="623">
        <v>0</v>
      </c>
      <c r="V285" s="623">
        <v>0</v>
      </c>
      <c r="W285" s="623">
        <v>0</v>
      </c>
      <c r="X285" s="623">
        <v>0</v>
      </c>
      <c r="Y285" s="623">
        <v>0</v>
      </c>
      <c r="Z285" s="623">
        <f t="shared" si="39"/>
        <v>2091.9</v>
      </c>
      <c r="AA285" s="623">
        <v>1000</v>
      </c>
      <c r="AB285" s="623">
        <v>0</v>
      </c>
      <c r="AC285" s="624">
        <v>1000</v>
      </c>
      <c r="AD285" s="625">
        <f t="shared" si="40"/>
        <v>26102.800000000003</v>
      </c>
      <c r="AE285" s="626">
        <f t="shared" si="41"/>
        <v>391542.00000000006</v>
      </c>
      <c r="AF285" s="627">
        <f t="shared" si="20"/>
        <v>0</v>
      </c>
      <c r="AG285" s="627">
        <f t="shared" si="20"/>
        <v>130514.00000000003</v>
      </c>
      <c r="AH285" s="628">
        <v>15</v>
      </c>
      <c r="AI285" s="627">
        <f t="shared" si="42"/>
        <v>391542.00000000006</v>
      </c>
    </row>
    <row r="286" spans="1:35" ht="12.75" x14ac:dyDescent="0.2">
      <c r="A286" s="603" t="s">
        <v>6</v>
      </c>
      <c r="B286" s="615">
        <f>SUM(B287:B292)</f>
        <v>98</v>
      </c>
      <c r="C286" s="649">
        <f>SUM(C287:C291)</f>
        <v>3298.88</v>
      </c>
      <c r="D286" s="633">
        <f>SUM(D287:D290)</f>
        <v>5022</v>
      </c>
      <c r="E286" s="649">
        <v>0</v>
      </c>
      <c r="F286" s="649">
        <v>0</v>
      </c>
      <c r="G286" s="649">
        <v>0</v>
      </c>
      <c r="H286" s="649">
        <v>0</v>
      </c>
      <c r="I286" s="649">
        <v>0</v>
      </c>
      <c r="J286" s="633">
        <f>SUM(J287:J290)</f>
        <v>0</v>
      </c>
      <c r="K286" s="633"/>
      <c r="L286" s="633"/>
      <c r="M286" s="633">
        <f>SUM(M287:M290)</f>
        <v>0</v>
      </c>
      <c r="N286" s="651"/>
      <c r="O286" s="652"/>
      <c r="P286" s="653"/>
      <c r="Q286" s="656">
        <v>119</v>
      </c>
      <c r="R286" s="633">
        <v>3298.88</v>
      </c>
      <c r="S286" s="633">
        <v>5022</v>
      </c>
      <c r="T286" s="633">
        <v>0</v>
      </c>
      <c r="U286" s="633">
        <v>0</v>
      </c>
      <c r="V286" s="633">
        <v>0</v>
      </c>
      <c r="W286" s="633">
        <v>0</v>
      </c>
      <c r="X286" s="633">
        <v>0</v>
      </c>
      <c r="Y286" s="633">
        <v>0</v>
      </c>
      <c r="Z286" s="633"/>
      <c r="AA286" s="633"/>
      <c r="AB286" s="633"/>
      <c r="AC286" s="634"/>
      <c r="AD286" s="634"/>
      <c r="AE286" s="634"/>
      <c r="AF286" s="635"/>
      <c r="AG286" s="635"/>
      <c r="AH286" s="636"/>
      <c r="AI286" s="635"/>
    </row>
    <row r="287" spans="1:35" ht="12.75" x14ac:dyDescent="0.2">
      <c r="A287" s="613" t="s">
        <v>1463</v>
      </c>
      <c r="B287" s="614">
        <v>7</v>
      </c>
      <c r="C287" s="647">
        <v>836.38999999999987</v>
      </c>
      <c r="D287" s="647">
        <v>1255.5</v>
      </c>
      <c r="E287" s="647">
        <v>0</v>
      </c>
      <c r="F287" s="647">
        <v>0</v>
      </c>
      <c r="G287" s="647">
        <v>0</v>
      </c>
      <c r="H287" s="647">
        <v>0</v>
      </c>
      <c r="I287" s="647">
        <v>0</v>
      </c>
      <c r="J287" s="647">
        <v>0</v>
      </c>
      <c r="K287" s="623">
        <f t="shared" ref="K287:K292" si="44">SUM(C287:J287)</f>
        <v>2091.89</v>
      </c>
      <c r="L287" s="647">
        <v>1000</v>
      </c>
      <c r="M287" s="647">
        <v>0</v>
      </c>
      <c r="N287" s="624">
        <f t="shared" ref="N287:N292" si="45">SUM(L287:M287)</f>
        <v>1000</v>
      </c>
      <c r="O287" s="625">
        <f t="shared" ref="O287:O292" si="46">(K287*12)+N287</f>
        <v>26102.68</v>
      </c>
      <c r="P287" s="626">
        <f>B287*O287</f>
        <v>182718.76</v>
      </c>
      <c r="Q287" s="648">
        <v>7</v>
      </c>
      <c r="R287" s="623">
        <v>836.38999999999987</v>
      </c>
      <c r="S287" s="623">
        <v>1255.5</v>
      </c>
      <c r="T287" s="623">
        <v>0</v>
      </c>
      <c r="U287" s="623">
        <v>0</v>
      </c>
      <c r="V287" s="623">
        <v>0</v>
      </c>
      <c r="W287" s="623">
        <v>0</v>
      </c>
      <c r="X287" s="623">
        <v>0</v>
      </c>
      <c r="Y287" s="623">
        <v>0</v>
      </c>
      <c r="Z287" s="623">
        <f t="shared" ref="Z287:Z292" si="47">SUM(R287:Y287)</f>
        <v>2091.89</v>
      </c>
      <c r="AA287" s="623">
        <v>1000</v>
      </c>
      <c r="AB287" s="623">
        <v>0</v>
      </c>
      <c r="AC287" s="624">
        <v>1000</v>
      </c>
      <c r="AD287" s="625">
        <f t="shared" ref="AD287:AD292" si="48">(Z287*12)+AC287</f>
        <v>26102.68</v>
      </c>
      <c r="AE287" s="626">
        <f t="shared" ref="AE287:AE292" si="49">Q287*AD287</f>
        <v>182718.76</v>
      </c>
      <c r="AF287" s="627">
        <f t="shared" si="20"/>
        <v>0</v>
      </c>
      <c r="AG287" s="627">
        <f t="shared" si="20"/>
        <v>0</v>
      </c>
      <c r="AH287" s="628">
        <v>7</v>
      </c>
      <c r="AI287" s="627">
        <f t="shared" ref="AI287:AI293" si="50">+AH287*AD287</f>
        <v>182718.76</v>
      </c>
    </row>
    <row r="288" spans="1:35" ht="12.75" x14ac:dyDescent="0.2">
      <c r="A288" s="613" t="s">
        <v>1464</v>
      </c>
      <c r="B288" s="614">
        <v>26</v>
      </c>
      <c r="C288" s="647">
        <v>828.6099999999999</v>
      </c>
      <c r="D288" s="647">
        <v>1255.5</v>
      </c>
      <c r="E288" s="647">
        <v>0</v>
      </c>
      <c r="F288" s="647">
        <v>0</v>
      </c>
      <c r="G288" s="647">
        <v>0</v>
      </c>
      <c r="H288" s="647">
        <v>0</v>
      </c>
      <c r="I288" s="647">
        <v>0</v>
      </c>
      <c r="J288" s="647">
        <v>0</v>
      </c>
      <c r="K288" s="623">
        <f t="shared" si="44"/>
        <v>2084.1099999999997</v>
      </c>
      <c r="L288" s="647">
        <v>1000</v>
      </c>
      <c r="M288" s="647">
        <v>0</v>
      </c>
      <c r="N288" s="624">
        <f t="shared" si="45"/>
        <v>1000</v>
      </c>
      <c r="O288" s="625">
        <f t="shared" si="46"/>
        <v>26009.319999999996</v>
      </c>
      <c r="P288" s="626">
        <f t="shared" ref="P288:P292" si="51">B288*O288</f>
        <v>676242.32</v>
      </c>
      <c r="Q288" s="648">
        <v>26</v>
      </c>
      <c r="R288" s="623">
        <v>828.6099999999999</v>
      </c>
      <c r="S288" s="623">
        <v>1255.5</v>
      </c>
      <c r="T288" s="623">
        <v>0</v>
      </c>
      <c r="U288" s="623">
        <v>0</v>
      </c>
      <c r="V288" s="623">
        <v>0</v>
      </c>
      <c r="W288" s="623">
        <v>0</v>
      </c>
      <c r="X288" s="623">
        <v>0</v>
      </c>
      <c r="Y288" s="623">
        <v>0</v>
      </c>
      <c r="Z288" s="623">
        <f t="shared" si="47"/>
        <v>2084.1099999999997</v>
      </c>
      <c r="AA288" s="623">
        <v>1000</v>
      </c>
      <c r="AB288" s="623">
        <v>0</v>
      </c>
      <c r="AC288" s="624">
        <v>1000</v>
      </c>
      <c r="AD288" s="625">
        <f t="shared" si="48"/>
        <v>26009.319999999996</v>
      </c>
      <c r="AE288" s="626">
        <f t="shared" si="49"/>
        <v>676242.32</v>
      </c>
      <c r="AF288" s="627">
        <f t="shared" ref="AF288:AG292" si="52">+AD288-O288</f>
        <v>0</v>
      </c>
      <c r="AG288" s="627">
        <f t="shared" si="52"/>
        <v>0</v>
      </c>
      <c r="AH288" s="628">
        <v>26</v>
      </c>
      <c r="AI288" s="627">
        <f t="shared" si="50"/>
        <v>676242.32</v>
      </c>
    </row>
    <row r="289" spans="1:35" ht="12.75" x14ac:dyDescent="0.2">
      <c r="A289" s="613" t="s">
        <v>1465</v>
      </c>
      <c r="B289" s="614">
        <v>5</v>
      </c>
      <c r="C289" s="647">
        <v>820.82999999999993</v>
      </c>
      <c r="D289" s="647">
        <v>1255.5</v>
      </c>
      <c r="E289" s="647">
        <v>0</v>
      </c>
      <c r="F289" s="647">
        <v>0</v>
      </c>
      <c r="G289" s="647">
        <v>0</v>
      </c>
      <c r="H289" s="647">
        <v>0</v>
      </c>
      <c r="I289" s="647">
        <v>0</v>
      </c>
      <c r="J289" s="647">
        <v>0</v>
      </c>
      <c r="K289" s="623">
        <f t="shared" si="44"/>
        <v>2076.33</v>
      </c>
      <c r="L289" s="647">
        <v>1000</v>
      </c>
      <c r="M289" s="647">
        <v>0</v>
      </c>
      <c r="N289" s="624">
        <f t="shared" si="45"/>
        <v>1000</v>
      </c>
      <c r="O289" s="625">
        <f t="shared" si="46"/>
        <v>25915.96</v>
      </c>
      <c r="P289" s="626">
        <f t="shared" si="51"/>
        <v>129579.79999999999</v>
      </c>
      <c r="Q289" s="648">
        <v>5</v>
      </c>
      <c r="R289" s="623">
        <v>820.82999999999993</v>
      </c>
      <c r="S289" s="623">
        <v>1255.5</v>
      </c>
      <c r="T289" s="623">
        <v>0</v>
      </c>
      <c r="U289" s="623">
        <v>0</v>
      </c>
      <c r="V289" s="623">
        <v>0</v>
      </c>
      <c r="W289" s="623">
        <v>0</v>
      </c>
      <c r="X289" s="623">
        <v>0</v>
      </c>
      <c r="Y289" s="623">
        <v>0</v>
      </c>
      <c r="Z289" s="623">
        <f t="shared" si="47"/>
        <v>2076.33</v>
      </c>
      <c r="AA289" s="623">
        <v>1000</v>
      </c>
      <c r="AB289" s="623">
        <v>0</v>
      </c>
      <c r="AC289" s="624">
        <v>1000</v>
      </c>
      <c r="AD289" s="625">
        <f t="shared" si="48"/>
        <v>25915.96</v>
      </c>
      <c r="AE289" s="626">
        <f t="shared" si="49"/>
        <v>129579.79999999999</v>
      </c>
      <c r="AF289" s="627">
        <f t="shared" si="52"/>
        <v>0</v>
      </c>
      <c r="AG289" s="627">
        <f t="shared" si="52"/>
        <v>0</v>
      </c>
      <c r="AH289" s="628">
        <v>5</v>
      </c>
      <c r="AI289" s="627">
        <f t="shared" si="50"/>
        <v>129579.79999999999</v>
      </c>
    </row>
    <row r="290" spans="1:35" ht="12.75" x14ac:dyDescent="0.2">
      <c r="A290" s="613" t="s">
        <v>1466</v>
      </c>
      <c r="B290" s="614">
        <v>60</v>
      </c>
      <c r="C290" s="647">
        <v>813.05</v>
      </c>
      <c r="D290" s="647">
        <v>1255.5</v>
      </c>
      <c r="E290" s="647">
        <v>0</v>
      </c>
      <c r="F290" s="647">
        <v>0</v>
      </c>
      <c r="G290" s="647">
        <v>0</v>
      </c>
      <c r="H290" s="647">
        <v>0</v>
      </c>
      <c r="I290" s="647">
        <v>0</v>
      </c>
      <c r="J290" s="647">
        <v>0</v>
      </c>
      <c r="K290" s="623">
        <f t="shared" si="44"/>
        <v>2068.5500000000002</v>
      </c>
      <c r="L290" s="647">
        <v>1000</v>
      </c>
      <c r="M290" s="647">
        <v>0</v>
      </c>
      <c r="N290" s="624">
        <f t="shared" si="45"/>
        <v>1000</v>
      </c>
      <c r="O290" s="625">
        <f t="shared" si="46"/>
        <v>25822.600000000002</v>
      </c>
      <c r="P290" s="626">
        <f t="shared" si="51"/>
        <v>1549356.0000000002</v>
      </c>
      <c r="Q290" s="648">
        <v>61</v>
      </c>
      <c r="R290" s="623">
        <v>813.05</v>
      </c>
      <c r="S290" s="623">
        <v>1255.5</v>
      </c>
      <c r="T290" s="623">
        <v>0</v>
      </c>
      <c r="U290" s="623">
        <v>0</v>
      </c>
      <c r="V290" s="623">
        <v>0</v>
      </c>
      <c r="W290" s="623">
        <v>0</v>
      </c>
      <c r="X290" s="623">
        <v>0</v>
      </c>
      <c r="Y290" s="623">
        <v>0</v>
      </c>
      <c r="Z290" s="623">
        <f t="shared" si="47"/>
        <v>2068.5500000000002</v>
      </c>
      <c r="AA290" s="623">
        <v>1000</v>
      </c>
      <c r="AB290" s="623">
        <v>0</v>
      </c>
      <c r="AC290" s="624">
        <v>1000</v>
      </c>
      <c r="AD290" s="625">
        <f t="shared" si="48"/>
        <v>25822.600000000002</v>
      </c>
      <c r="AE290" s="626">
        <f t="shared" si="49"/>
        <v>1575178.6</v>
      </c>
      <c r="AF290" s="627">
        <f t="shared" si="52"/>
        <v>0</v>
      </c>
      <c r="AG290" s="627">
        <f t="shared" si="52"/>
        <v>25822.59999999986</v>
      </c>
      <c r="AH290" s="628">
        <v>61</v>
      </c>
      <c r="AI290" s="627">
        <f t="shared" si="50"/>
        <v>1575178.6</v>
      </c>
    </row>
    <row r="291" spans="1:35" ht="12.75" x14ac:dyDescent="0.2">
      <c r="A291" s="613" t="s">
        <v>1467</v>
      </c>
      <c r="B291" s="614"/>
      <c r="C291" s="647"/>
      <c r="D291" s="643"/>
      <c r="E291" s="647">
        <v>0</v>
      </c>
      <c r="F291" s="647">
        <v>0</v>
      </c>
      <c r="G291" s="647">
        <v>0</v>
      </c>
      <c r="H291" s="647">
        <v>0</v>
      </c>
      <c r="I291" s="647">
        <v>0</v>
      </c>
      <c r="J291" s="647">
        <v>0</v>
      </c>
      <c r="K291" s="623">
        <f t="shared" si="44"/>
        <v>0</v>
      </c>
      <c r="L291" s="643">
        <v>0</v>
      </c>
      <c r="M291" s="647">
        <v>0</v>
      </c>
      <c r="N291" s="624">
        <f t="shared" si="45"/>
        <v>0</v>
      </c>
      <c r="O291" s="625">
        <f t="shared" si="46"/>
        <v>0</v>
      </c>
      <c r="P291" s="626">
        <f t="shared" si="51"/>
        <v>0</v>
      </c>
      <c r="Q291" s="648"/>
      <c r="R291" s="623"/>
      <c r="S291" s="623"/>
      <c r="T291" s="623">
        <v>0</v>
      </c>
      <c r="U291" s="623">
        <v>0</v>
      </c>
      <c r="V291" s="623">
        <v>0</v>
      </c>
      <c r="W291" s="623">
        <v>0</v>
      </c>
      <c r="X291" s="623">
        <v>0</v>
      </c>
      <c r="Y291" s="623">
        <v>0</v>
      </c>
      <c r="Z291" s="623">
        <f t="shared" si="47"/>
        <v>0</v>
      </c>
      <c r="AA291" s="623">
        <v>0</v>
      </c>
      <c r="AB291" s="623">
        <v>0</v>
      </c>
      <c r="AC291" s="624">
        <v>0</v>
      </c>
      <c r="AD291" s="625">
        <f t="shared" si="48"/>
        <v>0</v>
      </c>
      <c r="AE291" s="626">
        <f t="shared" si="49"/>
        <v>0</v>
      </c>
      <c r="AF291" s="627">
        <f t="shared" si="52"/>
        <v>0</v>
      </c>
      <c r="AG291" s="627">
        <f t="shared" si="52"/>
        <v>0</v>
      </c>
      <c r="AH291" s="628"/>
      <c r="AI291" s="627">
        <f t="shared" si="50"/>
        <v>0</v>
      </c>
    </row>
    <row r="292" spans="1:35" ht="12.75" x14ac:dyDescent="0.2">
      <c r="A292" s="613" t="s">
        <v>1468</v>
      </c>
      <c r="B292" s="599"/>
      <c r="C292" s="647"/>
      <c r="D292" s="643"/>
      <c r="E292" s="647">
        <v>0</v>
      </c>
      <c r="F292" s="647">
        <v>0</v>
      </c>
      <c r="G292" s="647">
        <v>0</v>
      </c>
      <c r="H292" s="647">
        <v>0</v>
      </c>
      <c r="I292" s="647">
        <v>0</v>
      </c>
      <c r="J292" s="647">
        <v>0</v>
      </c>
      <c r="K292" s="623">
        <f t="shared" si="44"/>
        <v>0</v>
      </c>
      <c r="L292" s="643"/>
      <c r="M292" s="647">
        <v>0</v>
      </c>
      <c r="N292" s="624">
        <f t="shared" si="45"/>
        <v>0</v>
      </c>
      <c r="O292" s="625">
        <f t="shared" si="46"/>
        <v>0</v>
      </c>
      <c r="P292" s="626">
        <f t="shared" si="51"/>
        <v>0</v>
      </c>
      <c r="Q292" s="648">
        <v>20</v>
      </c>
      <c r="R292" s="623">
        <v>797.51</v>
      </c>
      <c r="S292" s="623">
        <v>1255.5</v>
      </c>
      <c r="T292" s="623">
        <v>0</v>
      </c>
      <c r="U292" s="623">
        <v>0</v>
      </c>
      <c r="V292" s="623">
        <v>0</v>
      </c>
      <c r="W292" s="623">
        <v>0</v>
      </c>
      <c r="X292" s="623">
        <v>0</v>
      </c>
      <c r="Y292" s="623">
        <v>0</v>
      </c>
      <c r="Z292" s="623">
        <f t="shared" si="47"/>
        <v>2053.0100000000002</v>
      </c>
      <c r="AA292" s="623">
        <v>1000</v>
      </c>
      <c r="AB292" s="623">
        <v>0</v>
      </c>
      <c r="AC292" s="624">
        <v>1000</v>
      </c>
      <c r="AD292" s="625">
        <f t="shared" si="48"/>
        <v>25636.120000000003</v>
      </c>
      <c r="AE292" s="626">
        <f t="shared" si="49"/>
        <v>512722.4</v>
      </c>
      <c r="AF292" s="627">
        <f t="shared" si="52"/>
        <v>25636.120000000003</v>
      </c>
      <c r="AG292" s="627">
        <f t="shared" si="52"/>
        <v>512722.4</v>
      </c>
      <c r="AH292" s="628">
        <v>20</v>
      </c>
      <c r="AI292" s="627">
        <f t="shared" si="50"/>
        <v>512722.4</v>
      </c>
    </row>
    <row r="293" spans="1:35" x14ac:dyDescent="0.2">
      <c r="A293" s="617" t="s">
        <v>1469</v>
      </c>
      <c r="B293" s="599"/>
      <c r="C293" s="647"/>
      <c r="D293" s="643"/>
      <c r="E293" s="647"/>
      <c r="F293" s="647"/>
      <c r="G293" s="647"/>
      <c r="H293" s="647"/>
      <c r="I293" s="647"/>
      <c r="J293" s="647"/>
      <c r="K293" s="643"/>
      <c r="L293" s="643"/>
      <c r="M293" s="647"/>
      <c r="N293" s="98"/>
      <c r="O293" s="625"/>
      <c r="P293" s="626"/>
      <c r="Q293" s="648"/>
      <c r="R293" s="623"/>
      <c r="S293" s="623"/>
      <c r="T293" s="623"/>
      <c r="U293" s="623"/>
      <c r="V293" s="623"/>
      <c r="W293" s="623"/>
      <c r="X293" s="623"/>
      <c r="Y293" s="623"/>
      <c r="Z293" s="623"/>
      <c r="AA293" s="623"/>
      <c r="AB293" s="623"/>
      <c r="AC293" s="624"/>
      <c r="AD293" s="637"/>
      <c r="AE293" s="628"/>
      <c r="AF293" s="627"/>
      <c r="AG293" s="627"/>
      <c r="AH293" s="628"/>
      <c r="AI293" s="627">
        <f t="shared" si="50"/>
        <v>0</v>
      </c>
    </row>
    <row r="294" spans="1:35" ht="12.75" x14ac:dyDescent="0.2">
      <c r="A294" s="603" t="s">
        <v>4</v>
      </c>
      <c r="B294" s="615">
        <f>SUM(B295:B300)</f>
        <v>5</v>
      </c>
      <c r="C294" s="649">
        <f>SUM(C296:C300)</f>
        <v>4704</v>
      </c>
      <c r="D294" s="649">
        <f>SUM(D295:D300)</f>
        <v>0</v>
      </c>
      <c r="E294" s="649">
        <f t="shared" ref="E294:H294" si="53">SUM(E295:E300)</f>
        <v>0</v>
      </c>
      <c r="F294" s="649">
        <f t="shared" si="53"/>
        <v>0</v>
      </c>
      <c r="G294" s="649">
        <f t="shared" si="53"/>
        <v>0</v>
      </c>
      <c r="H294" s="649">
        <f t="shared" si="53"/>
        <v>0</v>
      </c>
      <c r="I294" s="633"/>
      <c r="J294" s="649"/>
      <c r="K294" s="649"/>
      <c r="L294" s="649"/>
      <c r="M294" s="649">
        <f>SUM(M295:M300)</f>
        <v>0</v>
      </c>
      <c r="N294" s="651"/>
      <c r="O294" s="652"/>
      <c r="P294" s="653"/>
      <c r="Q294" s="654">
        <v>5</v>
      </c>
      <c r="R294" s="629">
        <v>4704</v>
      </c>
      <c r="S294" s="629">
        <v>0</v>
      </c>
      <c r="T294" s="629">
        <v>0</v>
      </c>
      <c r="U294" s="629">
        <v>0</v>
      </c>
      <c r="V294" s="629">
        <v>0</v>
      </c>
      <c r="W294" s="629">
        <v>0</v>
      </c>
      <c r="X294" s="629"/>
      <c r="Y294" s="629"/>
      <c r="Z294" s="629"/>
      <c r="AA294" s="629"/>
      <c r="AB294" s="629"/>
      <c r="AC294" s="630"/>
      <c r="AD294" s="630"/>
      <c r="AE294" s="630"/>
      <c r="AF294" s="631"/>
      <c r="AG294" s="631"/>
      <c r="AH294" s="632"/>
      <c r="AI294" s="631"/>
    </row>
    <row r="295" spans="1:35" ht="12.75" x14ac:dyDescent="0.2">
      <c r="A295" s="613" t="s">
        <v>1451</v>
      </c>
      <c r="B295" s="614">
        <v>0</v>
      </c>
      <c r="C295" s="647">
        <v>0</v>
      </c>
      <c r="D295" s="647">
        <v>0</v>
      </c>
      <c r="E295" s="647">
        <v>0</v>
      </c>
      <c r="F295" s="647">
        <v>0</v>
      </c>
      <c r="G295" s="647">
        <v>0</v>
      </c>
      <c r="H295" s="647">
        <v>0</v>
      </c>
      <c r="I295" s="647">
        <v>0</v>
      </c>
      <c r="J295" s="647">
        <v>0</v>
      </c>
      <c r="K295" s="623">
        <f t="shared" ref="K295:L300" si="54">SUM(C295:J295)</f>
        <v>0</v>
      </c>
      <c r="L295" s="623">
        <f t="shared" si="54"/>
        <v>0</v>
      </c>
      <c r="M295" s="647">
        <v>0</v>
      </c>
      <c r="N295" s="624">
        <f t="shared" ref="N295:N300" si="55">SUM(L295:M295)</f>
        <v>0</v>
      </c>
      <c r="O295" s="625">
        <f t="shared" ref="O295:O300" si="56">(K295*12)+N295</f>
        <v>0</v>
      </c>
      <c r="P295" s="626">
        <f t="shared" ref="P295:P300" si="57">B295*O295</f>
        <v>0</v>
      </c>
      <c r="Q295" s="648">
        <v>0</v>
      </c>
      <c r="R295" s="623">
        <v>0</v>
      </c>
      <c r="S295" s="623">
        <v>0</v>
      </c>
      <c r="T295" s="623">
        <v>0</v>
      </c>
      <c r="U295" s="623">
        <v>0</v>
      </c>
      <c r="V295" s="623">
        <v>0</v>
      </c>
      <c r="W295" s="623">
        <v>0</v>
      </c>
      <c r="X295" s="623">
        <v>0</v>
      </c>
      <c r="Y295" s="623">
        <v>0</v>
      </c>
      <c r="Z295" s="623">
        <v>0</v>
      </c>
      <c r="AA295" s="623">
        <v>0</v>
      </c>
      <c r="AB295" s="623">
        <v>0</v>
      </c>
      <c r="AC295" s="624">
        <v>0</v>
      </c>
      <c r="AD295" s="625">
        <f t="shared" ref="AD295:AD300" si="58">(Z295*12)+AC295</f>
        <v>0</v>
      </c>
      <c r="AE295" s="626">
        <f t="shared" ref="AE295:AE300" si="59">Q295*AD295</f>
        <v>0</v>
      </c>
      <c r="AF295" s="627">
        <f t="shared" ref="AF295:AG300" si="60">+AD295-O295</f>
        <v>0</v>
      </c>
      <c r="AG295" s="627">
        <f t="shared" si="60"/>
        <v>0</v>
      </c>
      <c r="AH295" s="628">
        <v>0</v>
      </c>
      <c r="AI295" s="627">
        <f t="shared" ref="AI295:AI300" si="61">+AH295*AD295</f>
        <v>0</v>
      </c>
    </row>
    <row r="296" spans="1:35" ht="12.75" x14ac:dyDescent="0.2">
      <c r="A296" s="613" t="s">
        <v>1452</v>
      </c>
      <c r="B296" s="614">
        <v>0</v>
      </c>
      <c r="C296" s="647">
        <v>0</v>
      </c>
      <c r="D296" s="647">
        <v>0</v>
      </c>
      <c r="E296" s="647">
        <v>0</v>
      </c>
      <c r="F296" s="647">
        <v>0</v>
      </c>
      <c r="G296" s="647">
        <v>0</v>
      </c>
      <c r="H296" s="647">
        <v>0</v>
      </c>
      <c r="I296" s="647">
        <v>0</v>
      </c>
      <c r="J296" s="647">
        <v>0</v>
      </c>
      <c r="K296" s="623">
        <f t="shared" si="54"/>
        <v>0</v>
      </c>
      <c r="L296" s="623">
        <f t="shared" si="54"/>
        <v>0</v>
      </c>
      <c r="M296" s="647">
        <v>0</v>
      </c>
      <c r="N296" s="624">
        <f t="shared" si="55"/>
        <v>0</v>
      </c>
      <c r="O296" s="625">
        <f t="shared" si="56"/>
        <v>0</v>
      </c>
      <c r="P296" s="626">
        <f t="shared" si="57"/>
        <v>0</v>
      </c>
      <c r="Q296" s="648">
        <v>0</v>
      </c>
      <c r="R296" s="623">
        <v>0</v>
      </c>
      <c r="S296" s="623">
        <v>0</v>
      </c>
      <c r="T296" s="623">
        <v>0</v>
      </c>
      <c r="U296" s="623">
        <v>0</v>
      </c>
      <c r="V296" s="623">
        <v>0</v>
      </c>
      <c r="W296" s="623">
        <v>0</v>
      </c>
      <c r="X296" s="623">
        <v>0</v>
      </c>
      <c r="Y296" s="623">
        <v>0</v>
      </c>
      <c r="Z296" s="623">
        <v>0</v>
      </c>
      <c r="AA296" s="623">
        <v>0</v>
      </c>
      <c r="AB296" s="623">
        <v>0</v>
      </c>
      <c r="AC296" s="624">
        <v>0</v>
      </c>
      <c r="AD296" s="625">
        <f t="shared" si="58"/>
        <v>0</v>
      </c>
      <c r="AE296" s="626">
        <f t="shared" si="59"/>
        <v>0</v>
      </c>
      <c r="AF296" s="627">
        <f t="shared" si="60"/>
        <v>0</v>
      </c>
      <c r="AG296" s="627">
        <f t="shared" si="60"/>
        <v>0</v>
      </c>
      <c r="AH296" s="628">
        <v>0</v>
      </c>
      <c r="AI296" s="627">
        <f t="shared" si="61"/>
        <v>0</v>
      </c>
    </row>
    <row r="297" spans="1:35" ht="12.75" x14ac:dyDescent="0.2">
      <c r="A297" s="613" t="s">
        <v>1453</v>
      </c>
      <c r="B297" s="614">
        <v>0</v>
      </c>
      <c r="C297" s="647">
        <v>0</v>
      </c>
      <c r="D297" s="647">
        <v>0</v>
      </c>
      <c r="E297" s="647">
        <v>0</v>
      </c>
      <c r="F297" s="647">
        <v>0</v>
      </c>
      <c r="G297" s="647">
        <v>0</v>
      </c>
      <c r="H297" s="647">
        <v>0</v>
      </c>
      <c r="I297" s="647">
        <v>0</v>
      </c>
      <c r="J297" s="647">
        <v>0</v>
      </c>
      <c r="K297" s="623">
        <f t="shared" si="54"/>
        <v>0</v>
      </c>
      <c r="L297" s="623">
        <f t="shared" si="54"/>
        <v>0</v>
      </c>
      <c r="M297" s="647">
        <v>0</v>
      </c>
      <c r="N297" s="624">
        <f t="shared" si="55"/>
        <v>0</v>
      </c>
      <c r="O297" s="625">
        <f t="shared" si="56"/>
        <v>0</v>
      </c>
      <c r="P297" s="626">
        <f t="shared" si="57"/>
        <v>0</v>
      </c>
      <c r="Q297" s="648">
        <v>0</v>
      </c>
      <c r="R297" s="623">
        <v>0</v>
      </c>
      <c r="S297" s="623">
        <v>0</v>
      </c>
      <c r="T297" s="623">
        <v>0</v>
      </c>
      <c r="U297" s="623">
        <v>0</v>
      </c>
      <c r="V297" s="623">
        <v>0</v>
      </c>
      <c r="W297" s="623">
        <v>0</v>
      </c>
      <c r="X297" s="623">
        <v>0</v>
      </c>
      <c r="Y297" s="623">
        <v>0</v>
      </c>
      <c r="Z297" s="623">
        <v>0</v>
      </c>
      <c r="AA297" s="623">
        <v>0</v>
      </c>
      <c r="AB297" s="623">
        <v>0</v>
      </c>
      <c r="AC297" s="624">
        <v>0</v>
      </c>
      <c r="AD297" s="625">
        <f t="shared" si="58"/>
        <v>0</v>
      </c>
      <c r="AE297" s="626">
        <f t="shared" si="59"/>
        <v>0</v>
      </c>
      <c r="AF297" s="627">
        <f t="shared" si="60"/>
        <v>0</v>
      </c>
      <c r="AG297" s="627">
        <f t="shared" si="60"/>
        <v>0</v>
      </c>
      <c r="AH297" s="628">
        <v>0</v>
      </c>
      <c r="AI297" s="627">
        <f t="shared" si="61"/>
        <v>0</v>
      </c>
    </row>
    <row r="298" spans="1:35" ht="12.75" x14ac:dyDescent="0.2">
      <c r="A298" s="613" t="s">
        <v>1454</v>
      </c>
      <c r="B298" s="614"/>
      <c r="C298" s="647"/>
      <c r="D298" s="647">
        <v>0</v>
      </c>
      <c r="E298" s="647">
        <v>0</v>
      </c>
      <c r="F298" s="647">
        <v>0</v>
      </c>
      <c r="G298" s="647">
        <v>0</v>
      </c>
      <c r="H298" s="647">
        <v>0</v>
      </c>
      <c r="I298" s="647">
        <v>0</v>
      </c>
      <c r="J298" s="647">
        <v>0</v>
      </c>
      <c r="K298" s="623">
        <f t="shared" si="54"/>
        <v>0</v>
      </c>
      <c r="L298" s="623">
        <f t="shared" si="54"/>
        <v>0</v>
      </c>
      <c r="M298" s="647">
        <v>0</v>
      </c>
      <c r="N298" s="624">
        <f t="shared" si="55"/>
        <v>0</v>
      </c>
      <c r="O298" s="625">
        <f t="shared" si="56"/>
        <v>0</v>
      </c>
      <c r="P298" s="626">
        <f t="shared" si="57"/>
        <v>0</v>
      </c>
      <c r="Q298" s="648"/>
      <c r="R298" s="623"/>
      <c r="S298" s="623">
        <v>0</v>
      </c>
      <c r="T298" s="623">
        <v>0</v>
      </c>
      <c r="U298" s="623">
        <v>0</v>
      </c>
      <c r="V298" s="623">
        <v>0</v>
      </c>
      <c r="W298" s="623">
        <v>0</v>
      </c>
      <c r="X298" s="623">
        <v>0</v>
      </c>
      <c r="Y298" s="623">
        <v>0</v>
      </c>
      <c r="Z298" s="623">
        <v>0</v>
      </c>
      <c r="AA298" s="623">
        <v>0</v>
      </c>
      <c r="AB298" s="623">
        <v>0</v>
      </c>
      <c r="AC298" s="624">
        <v>0</v>
      </c>
      <c r="AD298" s="625">
        <f t="shared" si="58"/>
        <v>0</v>
      </c>
      <c r="AE298" s="626">
        <f t="shared" si="59"/>
        <v>0</v>
      </c>
      <c r="AF298" s="627">
        <f t="shared" si="60"/>
        <v>0</v>
      </c>
      <c r="AG298" s="627">
        <f t="shared" si="60"/>
        <v>0</v>
      </c>
      <c r="AH298" s="628">
        <v>0</v>
      </c>
      <c r="AI298" s="627">
        <f t="shared" si="61"/>
        <v>0</v>
      </c>
    </row>
    <row r="299" spans="1:35" ht="12.75" x14ac:dyDescent="0.2">
      <c r="A299" s="613" t="s">
        <v>1455</v>
      </c>
      <c r="B299" s="614">
        <v>4</v>
      </c>
      <c r="C299" s="657">
        <v>2380</v>
      </c>
      <c r="D299" s="647">
        <v>0</v>
      </c>
      <c r="E299" s="647">
        <v>0</v>
      </c>
      <c r="F299" s="647">
        <v>0</v>
      </c>
      <c r="G299" s="647">
        <v>0</v>
      </c>
      <c r="H299" s="647">
        <v>0</v>
      </c>
      <c r="I299" s="647">
        <v>410</v>
      </c>
      <c r="J299" s="647">
        <v>376.23</v>
      </c>
      <c r="K299" s="623">
        <f t="shared" si="54"/>
        <v>3166.23</v>
      </c>
      <c r="L299" s="647">
        <v>1000</v>
      </c>
      <c r="M299" s="647">
        <v>0</v>
      </c>
      <c r="N299" s="624">
        <f t="shared" si="55"/>
        <v>1000</v>
      </c>
      <c r="O299" s="625">
        <f t="shared" si="56"/>
        <v>38994.76</v>
      </c>
      <c r="P299" s="626">
        <f t="shared" si="57"/>
        <v>155979.04</v>
      </c>
      <c r="Q299" s="648">
        <v>4</v>
      </c>
      <c r="R299" s="623">
        <v>2380</v>
      </c>
      <c r="S299" s="623">
        <v>0</v>
      </c>
      <c r="T299" s="623">
        <v>0</v>
      </c>
      <c r="U299" s="623">
        <v>0</v>
      </c>
      <c r="V299" s="623">
        <v>0</v>
      </c>
      <c r="W299" s="623">
        <v>0</v>
      </c>
      <c r="X299" s="623">
        <v>410</v>
      </c>
      <c r="Y299" s="623">
        <v>376.23</v>
      </c>
      <c r="Z299" s="623">
        <f t="shared" ref="Z299:Z300" si="62">SUM(R299:Y299)</f>
        <v>3166.23</v>
      </c>
      <c r="AA299" s="623">
        <v>1000</v>
      </c>
      <c r="AB299" s="623">
        <v>0</v>
      </c>
      <c r="AC299" s="624">
        <v>1000</v>
      </c>
      <c r="AD299" s="625">
        <f t="shared" si="58"/>
        <v>38994.76</v>
      </c>
      <c r="AE299" s="626">
        <f t="shared" si="59"/>
        <v>155979.04</v>
      </c>
      <c r="AF299" s="627">
        <f t="shared" si="60"/>
        <v>0</v>
      </c>
      <c r="AG299" s="627">
        <f t="shared" si="60"/>
        <v>0</v>
      </c>
      <c r="AH299" s="628">
        <v>4</v>
      </c>
      <c r="AI299" s="627">
        <f t="shared" si="61"/>
        <v>155979.04</v>
      </c>
    </row>
    <row r="300" spans="1:35" ht="12.75" x14ac:dyDescent="0.2">
      <c r="A300" s="613" t="s">
        <v>1456</v>
      </c>
      <c r="B300" s="614">
        <v>1</v>
      </c>
      <c r="C300" s="657">
        <v>2324</v>
      </c>
      <c r="D300" s="647">
        <v>0</v>
      </c>
      <c r="E300" s="647">
        <v>0</v>
      </c>
      <c r="F300" s="647">
        <v>0</v>
      </c>
      <c r="G300" s="647">
        <v>0</v>
      </c>
      <c r="H300" s="647">
        <v>0</v>
      </c>
      <c r="I300" s="647">
        <v>410</v>
      </c>
      <c r="J300" s="647">
        <v>166.12</v>
      </c>
      <c r="K300" s="623">
        <f t="shared" si="54"/>
        <v>2900.12</v>
      </c>
      <c r="L300" s="647">
        <v>1000</v>
      </c>
      <c r="M300" s="647">
        <v>0</v>
      </c>
      <c r="N300" s="624">
        <f t="shared" si="55"/>
        <v>1000</v>
      </c>
      <c r="O300" s="625">
        <f t="shared" si="56"/>
        <v>35801.440000000002</v>
      </c>
      <c r="P300" s="626">
        <f t="shared" si="57"/>
        <v>35801.440000000002</v>
      </c>
      <c r="Q300" s="648">
        <v>1</v>
      </c>
      <c r="R300" s="623">
        <v>2324</v>
      </c>
      <c r="S300" s="623">
        <v>0</v>
      </c>
      <c r="T300" s="623">
        <v>0</v>
      </c>
      <c r="U300" s="623">
        <v>0</v>
      </c>
      <c r="V300" s="623">
        <v>0</v>
      </c>
      <c r="W300" s="623">
        <v>0</v>
      </c>
      <c r="X300" s="623">
        <v>410</v>
      </c>
      <c r="Y300" s="623">
        <v>166.12</v>
      </c>
      <c r="Z300" s="623">
        <f t="shared" si="62"/>
        <v>2900.12</v>
      </c>
      <c r="AA300" s="623">
        <v>1000</v>
      </c>
      <c r="AB300" s="623">
        <v>0</v>
      </c>
      <c r="AC300" s="624">
        <v>1000</v>
      </c>
      <c r="AD300" s="625">
        <f t="shared" si="58"/>
        <v>35801.440000000002</v>
      </c>
      <c r="AE300" s="626">
        <f t="shared" si="59"/>
        <v>35801.440000000002</v>
      </c>
      <c r="AF300" s="627">
        <f t="shared" si="60"/>
        <v>0</v>
      </c>
      <c r="AG300" s="627">
        <f t="shared" si="60"/>
        <v>0</v>
      </c>
      <c r="AH300" s="628">
        <v>1</v>
      </c>
      <c r="AI300" s="627">
        <f t="shared" si="61"/>
        <v>35801.440000000002</v>
      </c>
    </row>
    <row r="301" spans="1:35" ht="12.75" x14ac:dyDescent="0.2">
      <c r="A301" s="603" t="s">
        <v>5</v>
      </c>
      <c r="B301" s="615">
        <f>SUM(B302:B307)</f>
        <v>331</v>
      </c>
      <c r="C301" s="658">
        <f>SUM(C302:C307)</f>
        <v>12618</v>
      </c>
      <c r="D301" s="649">
        <v>0</v>
      </c>
      <c r="E301" s="649">
        <v>0</v>
      </c>
      <c r="F301" s="649">
        <v>0</v>
      </c>
      <c r="G301" s="649">
        <v>0</v>
      </c>
      <c r="H301" s="649">
        <v>0</v>
      </c>
      <c r="I301" s="633"/>
      <c r="J301" s="633"/>
      <c r="K301" s="633"/>
      <c r="L301" s="633"/>
      <c r="M301" s="649">
        <v>0</v>
      </c>
      <c r="N301" s="651"/>
      <c r="O301" s="652"/>
      <c r="P301" s="653"/>
      <c r="Q301" s="654">
        <v>338</v>
      </c>
      <c r="R301" s="629">
        <v>12618</v>
      </c>
      <c r="S301" s="629">
        <v>0</v>
      </c>
      <c r="T301" s="629">
        <v>0</v>
      </c>
      <c r="U301" s="629">
        <v>0</v>
      </c>
      <c r="V301" s="629">
        <v>0</v>
      </c>
      <c r="W301" s="629">
        <v>0</v>
      </c>
      <c r="X301" s="629"/>
      <c r="Y301" s="629"/>
      <c r="Z301" s="629"/>
      <c r="AA301" s="629"/>
      <c r="AB301" s="629"/>
      <c r="AC301" s="630"/>
      <c r="AD301" s="630"/>
      <c r="AE301" s="630"/>
      <c r="AF301" s="631"/>
      <c r="AG301" s="631"/>
      <c r="AH301" s="632"/>
      <c r="AI301" s="631"/>
    </row>
    <row r="302" spans="1:35" ht="12.75" x14ac:dyDescent="0.2">
      <c r="A302" s="613" t="s">
        <v>1457</v>
      </c>
      <c r="B302" s="614">
        <v>16</v>
      </c>
      <c r="C302" s="657">
        <v>2145</v>
      </c>
      <c r="D302" s="647">
        <v>0</v>
      </c>
      <c r="E302" s="647">
        <v>0</v>
      </c>
      <c r="F302" s="647">
        <v>0</v>
      </c>
      <c r="G302" s="647">
        <v>0</v>
      </c>
      <c r="H302" s="647">
        <v>0</v>
      </c>
      <c r="I302" s="647">
        <v>410</v>
      </c>
      <c r="J302" s="647">
        <v>346.42124999999999</v>
      </c>
      <c r="K302" s="623">
        <f t="shared" ref="K302:K307" si="63">SUM(C302:J302)</f>
        <v>2901.4212499999999</v>
      </c>
      <c r="L302" s="647">
        <v>1000</v>
      </c>
      <c r="M302" s="647">
        <v>0</v>
      </c>
      <c r="N302" s="624">
        <f t="shared" ref="N302:N307" si="64">SUM(L302:M302)</f>
        <v>1000</v>
      </c>
      <c r="O302" s="625">
        <f t="shared" ref="O302:O307" si="65">(K302*12)+N302</f>
        <v>35817.055</v>
      </c>
      <c r="P302" s="626">
        <f t="shared" ref="P302:P307" si="66">B302*O302</f>
        <v>573072.88</v>
      </c>
      <c r="Q302" s="648">
        <v>16</v>
      </c>
      <c r="R302" s="623">
        <v>2145</v>
      </c>
      <c r="S302" s="623">
        <v>0</v>
      </c>
      <c r="T302" s="623">
        <v>0</v>
      </c>
      <c r="U302" s="623">
        <v>0</v>
      </c>
      <c r="V302" s="623">
        <v>0</v>
      </c>
      <c r="W302" s="623">
        <v>0</v>
      </c>
      <c r="X302" s="623">
        <v>568</v>
      </c>
      <c r="Y302" s="623">
        <v>346.42124999999999</v>
      </c>
      <c r="Z302" s="623">
        <f t="shared" ref="Z302:Z307" si="67">SUM(R302:Y302)</f>
        <v>3059.4212499999999</v>
      </c>
      <c r="AA302" s="623">
        <v>1000</v>
      </c>
      <c r="AB302" s="623">
        <v>0</v>
      </c>
      <c r="AC302" s="624">
        <v>1000</v>
      </c>
      <c r="AD302" s="625">
        <f t="shared" ref="AD302:AD307" si="68">(Z302*12)+AC302</f>
        <v>37713.055</v>
      </c>
      <c r="AE302" s="626">
        <f t="shared" ref="AE302:AE307" si="69">Q302*AD302</f>
        <v>603408.88</v>
      </c>
      <c r="AF302" s="627">
        <f t="shared" ref="AF302:AG307" si="70">+AD302-O302</f>
        <v>1896</v>
      </c>
      <c r="AG302" s="627">
        <f t="shared" si="70"/>
        <v>30336</v>
      </c>
      <c r="AH302" s="628">
        <v>16</v>
      </c>
      <c r="AI302" s="627">
        <f t="shared" ref="AI302:AI307" si="71">+AH302*AD302</f>
        <v>603408.88</v>
      </c>
    </row>
    <row r="303" spans="1:35" ht="12.75" x14ac:dyDescent="0.2">
      <c r="A303" s="613" t="s">
        <v>1458</v>
      </c>
      <c r="B303" s="614">
        <v>43</v>
      </c>
      <c r="C303" s="657">
        <v>2127</v>
      </c>
      <c r="D303" s="647">
        <v>0</v>
      </c>
      <c r="E303" s="647">
        <v>0</v>
      </c>
      <c r="F303" s="647">
        <v>0</v>
      </c>
      <c r="G303" s="647">
        <v>0</v>
      </c>
      <c r="H303" s="647">
        <v>0</v>
      </c>
      <c r="I303" s="647">
        <v>410</v>
      </c>
      <c r="J303" s="647">
        <v>306.23599999999999</v>
      </c>
      <c r="K303" s="623">
        <f t="shared" si="63"/>
        <v>2843.2359999999999</v>
      </c>
      <c r="L303" s="647">
        <v>1000</v>
      </c>
      <c r="M303" s="647">
        <v>0</v>
      </c>
      <c r="N303" s="624">
        <f t="shared" si="64"/>
        <v>1000</v>
      </c>
      <c r="O303" s="625">
        <f t="shared" si="65"/>
        <v>35118.831999999995</v>
      </c>
      <c r="P303" s="626">
        <f t="shared" si="66"/>
        <v>1510109.7759999998</v>
      </c>
      <c r="Q303" s="648">
        <v>42</v>
      </c>
      <c r="R303" s="623">
        <v>2127</v>
      </c>
      <c r="S303" s="623">
        <v>0</v>
      </c>
      <c r="T303" s="623">
        <v>0</v>
      </c>
      <c r="U303" s="623">
        <v>0</v>
      </c>
      <c r="V303" s="623">
        <v>0</v>
      </c>
      <c r="W303" s="623">
        <v>0</v>
      </c>
      <c r="X303" s="623">
        <v>568</v>
      </c>
      <c r="Y303" s="623">
        <v>336.23599999999999</v>
      </c>
      <c r="Z303" s="623">
        <f t="shared" si="67"/>
        <v>3031.2359999999999</v>
      </c>
      <c r="AA303" s="623">
        <v>1000</v>
      </c>
      <c r="AB303" s="623">
        <v>0</v>
      </c>
      <c r="AC303" s="624">
        <v>1000</v>
      </c>
      <c r="AD303" s="625">
        <f t="shared" si="68"/>
        <v>37374.831999999995</v>
      </c>
      <c r="AE303" s="626">
        <f t="shared" si="69"/>
        <v>1569742.9439999997</v>
      </c>
      <c r="AF303" s="627">
        <f t="shared" si="70"/>
        <v>2256</v>
      </c>
      <c r="AG303" s="627">
        <f t="shared" si="70"/>
        <v>59633.16799999983</v>
      </c>
      <c r="AH303" s="628">
        <v>42</v>
      </c>
      <c r="AI303" s="627">
        <f t="shared" si="71"/>
        <v>1569742.9439999997</v>
      </c>
    </row>
    <row r="304" spans="1:35" ht="12.75" x14ac:dyDescent="0.2">
      <c r="A304" s="613" t="s">
        <v>1459</v>
      </c>
      <c r="B304" s="614">
        <v>120</v>
      </c>
      <c r="C304" s="657">
        <v>2109</v>
      </c>
      <c r="D304" s="647">
        <v>0</v>
      </c>
      <c r="E304" s="647">
        <v>0</v>
      </c>
      <c r="F304" s="647">
        <v>0</v>
      </c>
      <c r="G304" s="647">
        <v>0</v>
      </c>
      <c r="H304" s="647">
        <v>0</v>
      </c>
      <c r="I304" s="647">
        <v>410</v>
      </c>
      <c r="J304" s="647">
        <v>280.98694444444448</v>
      </c>
      <c r="K304" s="623">
        <f t="shared" si="63"/>
        <v>2799.9869444444444</v>
      </c>
      <c r="L304" s="647">
        <v>1000</v>
      </c>
      <c r="M304" s="647">
        <v>0</v>
      </c>
      <c r="N304" s="624">
        <f t="shared" si="64"/>
        <v>1000</v>
      </c>
      <c r="O304" s="625">
        <f t="shared" si="65"/>
        <v>34599.843333333331</v>
      </c>
      <c r="P304" s="626">
        <f t="shared" si="66"/>
        <v>4151981.1999999997</v>
      </c>
      <c r="Q304" s="648">
        <v>120</v>
      </c>
      <c r="R304" s="623">
        <v>2109</v>
      </c>
      <c r="S304" s="623">
        <v>0</v>
      </c>
      <c r="T304" s="623">
        <v>0</v>
      </c>
      <c r="U304" s="623">
        <v>0</v>
      </c>
      <c r="V304" s="623">
        <v>0</v>
      </c>
      <c r="W304" s="623">
        <v>0</v>
      </c>
      <c r="X304" s="623">
        <v>568</v>
      </c>
      <c r="Y304" s="623">
        <v>329.98694444444402</v>
      </c>
      <c r="Z304" s="623">
        <f t="shared" si="67"/>
        <v>3006.9869444444439</v>
      </c>
      <c r="AA304" s="623">
        <v>1000</v>
      </c>
      <c r="AB304" s="623">
        <v>0</v>
      </c>
      <c r="AC304" s="624">
        <v>1000</v>
      </c>
      <c r="AD304" s="625">
        <f t="shared" si="68"/>
        <v>37083.843333333323</v>
      </c>
      <c r="AE304" s="626">
        <f t="shared" si="69"/>
        <v>4450061.1999999993</v>
      </c>
      <c r="AF304" s="627">
        <f t="shared" si="70"/>
        <v>2483.9999999999927</v>
      </c>
      <c r="AG304" s="627">
        <f t="shared" si="70"/>
        <v>298079.99999999953</v>
      </c>
      <c r="AH304" s="628">
        <v>120</v>
      </c>
      <c r="AI304" s="627">
        <f t="shared" si="71"/>
        <v>4450061.1999999993</v>
      </c>
    </row>
    <row r="305" spans="1:35" ht="12.75" x14ac:dyDescent="0.2">
      <c r="A305" s="613" t="s">
        <v>1460</v>
      </c>
      <c r="B305" s="614">
        <v>9</v>
      </c>
      <c r="C305" s="657">
        <v>2091</v>
      </c>
      <c r="D305" s="647">
        <v>0</v>
      </c>
      <c r="E305" s="647">
        <v>0</v>
      </c>
      <c r="F305" s="647">
        <v>0</v>
      </c>
      <c r="G305" s="647">
        <v>0</v>
      </c>
      <c r="H305" s="647">
        <v>0</v>
      </c>
      <c r="I305" s="647">
        <v>410</v>
      </c>
      <c r="J305" s="647">
        <v>360.99666666666667</v>
      </c>
      <c r="K305" s="623">
        <f t="shared" si="63"/>
        <v>2861.9966666666669</v>
      </c>
      <c r="L305" s="647">
        <v>1000</v>
      </c>
      <c r="M305" s="647">
        <v>0</v>
      </c>
      <c r="N305" s="624">
        <f t="shared" si="64"/>
        <v>1000</v>
      </c>
      <c r="O305" s="625">
        <f t="shared" si="65"/>
        <v>35343.960000000006</v>
      </c>
      <c r="P305" s="626">
        <f t="shared" si="66"/>
        <v>318095.64000000007</v>
      </c>
      <c r="Q305" s="648">
        <v>9</v>
      </c>
      <c r="R305" s="623">
        <v>2091</v>
      </c>
      <c r="S305" s="623">
        <v>0</v>
      </c>
      <c r="T305" s="623">
        <v>0</v>
      </c>
      <c r="U305" s="623">
        <v>0</v>
      </c>
      <c r="V305" s="623">
        <v>0</v>
      </c>
      <c r="W305" s="623">
        <v>0</v>
      </c>
      <c r="X305" s="623">
        <v>568</v>
      </c>
      <c r="Y305" s="623">
        <v>360.99666666666667</v>
      </c>
      <c r="Z305" s="623">
        <f t="shared" si="67"/>
        <v>3019.9966666666669</v>
      </c>
      <c r="AA305" s="623">
        <v>1000</v>
      </c>
      <c r="AB305" s="623">
        <v>0</v>
      </c>
      <c r="AC305" s="624">
        <v>1000</v>
      </c>
      <c r="AD305" s="625">
        <f t="shared" si="68"/>
        <v>37239.960000000006</v>
      </c>
      <c r="AE305" s="626">
        <f t="shared" si="69"/>
        <v>335159.64000000007</v>
      </c>
      <c r="AF305" s="627">
        <f t="shared" si="70"/>
        <v>1896</v>
      </c>
      <c r="AG305" s="627">
        <f t="shared" si="70"/>
        <v>17064</v>
      </c>
      <c r="AH305" s="628">
        <v>9</v>
      </c>
      <c r="AI305" s="627">
        <f t="shared" si="71"/>
        <v>335159.64000000007</v>
      </c>
    </row>
    <row r="306" spans="1:35" ht="12.75" x14ac:dyDescent="0.2">
      <c r="A306" s="613" t="s">
        <v>1461</v>
      </c>
      <c r="B306" s="614">
        <v>7</v>
      </c>
      <c r="C306" s="657">
        <v>2078</v>
      </c>
      <c r="D306" s="647">
        <v>0</v>
      </c>
      <c r="E306" s="647">
        <v>0</v>
      </c>
      <c r="F306" s="647">
        <v>0</v>
      </c>
      <c r="G306" s="647">
        <v>0</v>
      </c>
      <c r="H306" s="647">
        <v>0</v>
      </c>
      <c r="I306" s="647">
        <v>410</v>
      </c>
      <c r="J306" s="647">
        <v>208.80285714285699</v>
      </c>
      <c r="K306" s="623">
        <f t="shared" si="63"/>
        <v>2696.8028571428572</v>
      </c>
      <c r="L306" s="647">
        <v>1000</v>
      </c>
      <c r="M306" s="647">
        <v>0</v>
      </c>
      <c r="N306" s="624">
        <f t="shared" si="64"/>
        <v>1000</v>
      </c>
      <c r="O306" s="625">
        <f t="shared" si="65"/>
        <v>33361.634285714288</v>
      </c>
      <c r="P306" s="626">
        <f t="shared" si="66"/>
        <v>233531.44</v>
      </c>
      <c r="Q306" s="648">
        <v>7</v>
      </c>
      <c r="R306" s="623">
        <v>2078</v>
      </c>
      <c r="S306" s="623">
        <v>0</v>
      </c>
      <c r="T306" s="623">
        <v>0</v>
      </c>
      <c r="U306" s="623">
        <v>0</v>
      </c>
      <c r="V306" s="623">
        <v>0</v>
      </c>
      <c r="W306" s="623">
        <v>0</v>
      </c>
      <c r="X306" s="623">
        <v>568</v>
      </c>
      <c r="Y306" s="623">
        <v>328.80285714285702</v>
      </c>
      <c r="Z306" s="623">
        <f t="shared" si="67"/>
        <v>2974.8028571428572</v>
      </c>
      <c r="AA306" s="623">
        <v>1000</v>
      </c>
      <c r="AB306" s="623">
        <v>0</v>
      </c>
      <c r="AC306" s="624">
        <v>1000</v>
      </c>
      <c r="AD306" s="625">
        <f t="shared" si="68"/>
        <v>36697.634285714288</v>
      </c>
      <c r="AE306" s="626">
        <f t="shared" si="69"/>
        <v>256883.44</v>
      </c>
      <c r="AF306" s="627">
        <f t="shared" si="70"/>
        <v>3336</v>
      </c>
      <c r="AG306" s="627">
        <f t="shared" si="70"/>
        <v>23352</v>
      </c>
      <c r="AH306" s="628">
        <v>7</v>
      </c>
      <c r="AI306" s="627">
        <f t="shared" si="71"/>
        <v>256883.44</v>
      </c>
    </row>
    <row r="307" spans="1:35" ht="12.75" x14ac:dyDescent="0.2">
      <c r="A307" s="613" t="s">
        <v>1462</v>
      </c>
      <c r="B307" s="614">
        <v>136</v>
      </c>
      <c r="C307" s="657">
        <v>2068</v>
      </c>
      <c r="D307" s="647">
        <v>0</v>
      </c>
      <c r="E307" s="647">
        <v>0</v>
      </c>
      <c r="F307" s="647">
        <v>0</v>
      </c>
      <c r="G307" s="647">
        <v>0</v>
      </c>
      <c r="H307" s="647">
        <v>0</v>
      </c>
      <c r="I307" s="647">
        <v>410</v>
      </c>
      <c r="J307" s="647">
        <v>286.6905263157895</v>
      </c>
      <c r="K307" s="623">
        <f t="shared" si="63"/>
        <v>2764.6905263157896</v>
      </c>
      <c r="L307" s="647">
        <v>1000</v>
      </c>
      <c r="M307" s="647">
        <v>0</v>
      </c>
      <c r="N307" s="624">
        <f t="shared" si="64"/>
        <v>1000</v>
      </c>
      <c r="O307" s="625">
        <f t="shared" si="65"/>
        <v>34176.286315789475</v>
      </c>
      <c r="P307" s="626">
        <f t="shared" si="66"/>
        <v>4647974.9389473684</v>
      </c>
      <c r="Q307" s="648">
        <v>144</v>
      </c>
      <c r="R307" s="623">
        <v>2068</v>
      </c>
      <c r="S307" s="623">
        <v>0</v>
      </c>
      <c r="T307" s="623">
        <v>0</v>
      </c>
      <c r="U307" s="623">
        <v>0</v>
      </c>
      <c r="V307" s="623">
        <v>0</v>
      </c>
      <c r="W307" s="623">
        <v>0</v>
      </c>
      <c r="X307" s="623">
        <v>568</v>
      </c>
      <c r="Y307" s="623">
        <v>316.69052631578899</v>
      </c>
      <c r="Z307" s="623">
        <f t="shared" si="67"/>
        <v>2952.6905263157892</v>
      </c>
      <c r="AA307" s="623">
        <v>1000</v>
      </c>
      <c r="AB307" s="623">
        <v>0</v>
      </c>
      <c r="AC307" s="624">
        <v>1000</v>
      </c>
      <c r="AD307" s="625">
        <f t="shared" si="68"/>
        <v>36432.286315789468</v>
      </c>
      <c r="AE307" s="626">
        <f t="shared" si="69"/>
        <v>5246249.2294736831</v>
      </c>
      <c r="AF307" s="627">
        <f t="shared" si="70"/>
        <v>2255.9999999999927</v>
      </c>
      <c r="AG307" s="627">
        <f t="shared" si="70"/>
        <v>598274.29052631464</v>
      </c>
      <c r="AH307" s="628">
        <v>144</v>
      </c>
      <c r="AI307" s="627">
        <f t="shared" si="71"/>
        <v>5246249.2294736831</v>
      </c>
    </row>
    <row r="308" spans="1:35" ht="12.75" x14ac:dyDescent="0.2">
      <c r="A308" s="603" t="s">
        <v>6</v>
      </c>
      <c r="B308" s="615">
        <f>SUM(B309:B314)</f>
        <v>97</v>
      </c>
      <c r="C308" s="658">
        <f>SUM(C309:C314)</f>
        <v>8245</v>
      </c>
      <c r="D308" s="649">
        <v>0</v>
      </c>
      <c r="E308" s="649">
        <v>0</v>
      </c>
      <c r="F308" s="649">
        <v>0</v>
      </c>
      <c r="G308" s="649">
        <v>0</v>
      </c>
      <c r="H308" s="649">
        <v>0</v>
      </c>
      <c r="I308" s="633"/>
      <c r="J308" s="633"/>
      <c r="K308" s="633"/>
      <c r="L308" s="633"/>
      <c r="M308" s="649">
        <v>0</v>
      </c>
      <c r="N308" s="651"/>
      <c r="O308" s="652"/>
      <c r="P308" s="653"/>
      <c r="Q308" s="654">
        <v>100</v>
      </c>
      <c r="R308" s="629">
        <v>8245</v>
      </c>
      <c r="S308" s="629">
        <v>0</v>
      </c>
      <c r="T308" s="629">
        <v>0</v>
      </c>
      <c r="U308" s="629">
        <v>0</v>
      </c>
      <c r="V308" s="629">
        <v>0</v>
      </c>
      <c r="W308" s="629">
        <v>0</v>
      </c>
      <c r="X308" s="629"/>
      <c r="Y308" s="629"/>
      <c r="Z308" s="629"/>
      <c r="AA308" s="629"/>
      <c r="AB308" s="629"/>
      <c r="AC308" s="630"/>
      <c r="AD308" s="630"/>
      <c r="AE308" s="630"/>
      <c r="AF308" s="631"/>
      <c r="AG308" s="631"/>
      <c r="AH308" s="632"/>
      <c r="AI308" s="631"/>
    </row>
    <row r="309" spans="1:35" ht="12.75" x14ac:dyDescent="0.2">
      <c r="A309" s="613" t="s">
        <v>1463</v>
      </c>
      <c r="B309" s="614">
        <v>0</v>
      </c>
      <c r="C309" s="659"/>
      <c r="D309" s="647"/>
      <c r="E309" s="647"/>
      <c r="F309" s="647"/>
      <c r="G309" s="647"/>
      <c r="H309" s="647"/>
      <c r="I309" s="643"/>
      <c r="J309" s="643"/>
      <c r="K309" s="643"/>
      <c r="L309" s="643"/>
      <c r="M309" s="647"/>
      <c r="N309" s="98"/>
      <c r="O309" s="625"/>
      <c r="P309" s="626"/>
      <c r="Q309" s="648">
        <v>0</v>
      </c>
      <c r="R309" s="623"/>
      <c r="S309" s="623"/>
      <c r="T309" s="623"/>
      <c r="U309" s="623"/>
      <c r="V309" s="623"/>
      <c r="W309" s="623"/>
      <c r="X309" s="623"/>
      <c r="Y309" s="623"/>
      <c r="Z309" s="623"/>
      <c r="AA309" s="623"/>
      <c r="AB309" s="623"/>
      <c r="AC309" s="624"/>
      <c r="AD309" s="637"/>
      <c r="AE309" s="628"/>
      <c r="AF309" s="627"/>
      <c r="AG309" s="627"/>
      <c r="AH309" s="628">
        <v>0</v>
      </c>
      <c r="AI309" s="627">
        <f t="shared" ref="AI309:AI315" si="72">+AH309*AD309</f>
        <v>0</v>
      </c>
    </row>
    <row r="310" spans="1:35" ht="12.75" x14ac:dyDescent="0.2">
      <c r="A310" s="613" t="s">
        <v>1464</v>
      </c>
      <c r="B310" s="614">
        <v>40</v>
      </c>
      <c r="C310" s="657">
        <v>2077</v>
      </c>
      <c r="D310" s="647">
        <v>0</v>
      </c>
      <c r="E310" s="647">
        <v>0</v>
      </c>
      <c r="F310" s="647">
        <v>0</v>
      </c>
      <c r="G310" s="647">
        <v>0</v>
      </c>
      <c r="H310" s="647">
        <v>0</v>
      </c>
      <c r="I310" s="647">
        <v>410</v>
      </c>
      <c r="J310" s="647">
        <v>329.79487179487199</v>
      </c>
      <c r="K310" s="623">
        <f t="shared" ref="K310:K314" si="73">SUM(C310:J310)</f>
        <v>2816.7948717948721</v>
      </c>
      <c r="L310" s="647">
        <v>1000</v>
      </c>
      <c r="M310" s="647">
        <v>0</v>
      </c>
      <c r="N310" s="624">
        <f t="shared" ref="N310:N314" si="74">SUM(L310:M310)</f>
        <v>1000</v>
      </c>
      <c r="O310" s="625">
        <f t="shared" ref="O310:O314" si="75">(K310*12)+N310</f>
        <v>34801.538461538468</v>
      </c>
      <c r="P310" s="626">
        <f t="shared" ref="P310:P314" si="76">B310*O310</f>
        <v>1392061.5384615387</v>
      </c>
      <c r="Q310" s="648">
        <v>39</v>
      </c>
      <c r="R310" s="623">
        <v>2077</v>
      </c>
      <c r="S310" s="623">
        <v>0</v>
      </c>
      <c r="T310" s="623">
        <v>0</v>
      </c>
      <c r="U310" s="623">
        <v>0</v>
      </c>
      <c r="V310" s="623">
        <v>0</v>
      </c>
      <c r="W310" s="623">
        <v>0</v>
      </c>
      <c r="X310" s="623">
        <v>568</v>
      </c>
      <c r="Y310" s="623">
        <v>329.79487179487199</v>
      </c>
      <c r="Z310" s="623">
        <f t="shared" ref="Z310:Z314" si="77">SUM(R310:Y310)</f>
        <v>2974.7948717948721</v>
      </c>
      <c r="AA310" s="623">
        <v>1000</v>
      </c>
      <c r="AB310" s="623">
        <v>0</v>
      </c>
      <c r="AC310" s="624">
        <v>1000</v>
      </c>
      <c r="AD310" s="625">
        <f t="shared" ref="AD310:AD314" si="78">(Z310*12)+AC310</f>
        <v>36697.538461538468</v>
      </c>
      <c r="AE310" s="626">
        <f t="shared" ref="AE310:AE314" si="79">Q310*AD310</f>
        <v>1431204.0000000002</v>
      </c>
      <c r="AF310" s="627">
        <f t="shared" ref="AF310:AG315" si="80">+AD310-O310</f>
        <v>1896</v>
      </c>
      <c r="AG310" s="627">
        <f t="shared" si="80"/>
        <v>39142.461538461503</v>
      </c>
      <c r="AH310" s="628">
        <v>39</v>
      </c>
      <c r="AI310" s="627">
        <f t="shared" si="72"/>
        <v>1431204.0000000002</v>
      </c>
    </row>
    <row r="311" spans="1:35" ht="12.75" x14ac:dyDescent="0.2">
      <c r="A311" s="613" t="s">
        <v>1465</v>
      </c>
      <c r="B311" s="614">
        <v>11</v>
      </c>
      <c r="C311" s="657">
        <v>2068</v>
      </c>
      <c r="D311" s="647">
        <v>0</v>
      </c>
      <c r="E311" s="647">
        <v>0</v>
      </c>
      <c r="F311" s="647">
        <v>0</v>
      </c>
      <c r="G311" s="647">
        <v>0</v>
      </c>
      <c r="H311" s="647">
        <v>0</v>
      </c>
      <c r="I311" s="647">
        <v>410</v>
      </c>
      <c r="J311" s="647">
        <v>303.45454545454498</v>
      </c>
      <c r="K311" s="623">
        <f t="shared" si="73"/>
        <v>2781.454545454545</v>
      </c>
      <c r="L311" s="647">
        <v>1000</v>
      </c>
      <c r="M311" s="647">
        <v>0</v>
      </c>
      <c r="N311" s="624">
        <f t="shared" si="74"/>
        <v>1000</v>
      </c>
      <c r="O311" s="625">
        <f t="shared" si="75"/>
        <v>34377.454545454544</v>
      </c>
      <c r="P311" s="626">
        <f t="shared" si="76"/>
        <v>378152</v>
      </c>
      <c r="Q311" s="648">
        <v>11</v>
      </c>
      <c r="R311" s="623">
        <v>2068</v>
      </c>
      <c r="S311" s="623">
        <v>0</v>
      </c>
      <c r="T311" s="623">
        <v>0</v>
      </c>
      <c r="U311" s="623">
        <v>0</v>
      </c>
      <c r="V311" s="623">
        <v>0</v>
      </c>
      <c r="W311" s="623">
        <v>0</v>
      </c>
      <c r="X311" s="623">
        <v>568</v>
      </c>
      <c r="Y311" s="623">
        <v>303.45454545454498</v>
      </c>
      <c r="Z311" s="623">
        <f t="shared" si="77"/>
        <v>2939.454545454545</v>
      </c>
      <c r="AA311" s="623">
        <v>1000</v>
      </c>
      <c r="AB311" s="623">
        <v>0</v>
      </c>
      <c r="AC311" s="624">
        <v>1000</v>
      </c>
      <c r="AD311" s="625">
        <f t="shared" si="78"/>
        <v>36273.454545454544</v>
      </c>
      <c r="AE311" s="626">
        <f t="shared" si="79"/>
        <v>399008</v>
      </c>
      <c r="AF311" s="627">
        <f t="shared" si="80"/>
        <v>1896</v>
      </c>
      <c r="AG311" s="627">
        <f t="shared" si="80"/>
        <v>20856</v>
      </c>
      <c r="AH311" s="628">
        <v>11</v>
      </c>
      <c r="AI311" s="627">
        <f t="shared" si="72"/>
        <v>399008</v>
      </c>
    </row>
    <row r="312" spans="1:35" ht="12.75" x14ac:dyDescent="0.2">
      <c r="A312" s="613" t="s">
        <v>1466</v>
      </c>
      <c r="B312" s="614">
        <v>15</v>
      </c>
      <c r="C312" s="657">
        <v>2059</v>
      </c>
      <c r="D312" s="647">
        <v>0</v>
      </c>
      <c r="E312" s="647">
        <v>0</v>
      </c>
      <c r="F312" s="647">
        <v>0</v>
      </c>
      <c r="G312" s="647">
        <v>0</v>
      </c>
      <c r="H312" s="647">
        <v>0</v>
      </c>
      <c r="I312" s="647">
        <v>410</v>
      </c>
      <c r="J312" s="647">
        <v>183.625</v>
      </c>
      <c r="K312" s="623">
        <f t="shared" si="73"/>
        <v>2652.625</v>
      </c>
      <c r="L312" s="647">
        <v>1000</v>
      </c>
      <c r="M312" s="647">
        <v>0</v>
      </c>
      <c r="N312" s="624">
        <f t="shared" si="74"/>
        <v>1000</v>
      </c>
      <c r="O312" s="625">
        <f t="shared" si="75"/>
        <v>32831.5</v>
      </c>
      <c r="P312" s="626">
        <f t="shared" si="76"/>
        <v>492472.5</v>
      </c>
      <c r="Q312" s="648">
        <v>15</v>
      </c>
      <c r="R312" s="623">
        <v>2059</v>
      </c>
      <c r="S312" s="623">
        <v>0</v>
      </c>
      <c r="T312" s="623">
        <v>0</v>
      </c>
      <c r="U312" s="623">
        <v>0</v>
      </c>
      <c r="V312" s="623">
        <v>0</v>
      </c>
      <c r="W312" s="623">
        <v>0</v>
      </c>
      <c r="X312" s="623">
        <v>568</v>
      </c>
      <c r="Y312" s="623">
        <v>266.625</v>
      </c>
      <c r="Z312" s="623">
        <f t="shared" si="77"/>
        <v>2893.625</v>
      </c>
      <c r="AA312" s="623">
        <v>1000</v>
      </c>
      <c r="AB312" s="623">
        <v>0</v>
      </c>
      <c r="AC312" s="624">
        <v>1000</v>
      </c>
      <c r="AD312" s="625">
        <f t="shared" si="78"/>
        <v>35723.5</v>
      </c>
      <c r="AE312" s="626">
        <f t="shared" si="79"/>
        <v>535852.5</v>
      </c>
      <c r="AF312" s="627">
        <f t="shared" si="80"/>
        <v>2892</v>
      </c>
      <c r="AG312" s="627">
        <f t="shared" si="80"/>
        <v>43380</v>
      </c>
      <c r="AH312" s="628">
        <v>15</v>
      </c>
      <c r="AI312" s="627">
        <f t="shared" si="72"/>
        <v>535852.5</v>
      </c>
    </row>
    <row r="313" spans="1:35" ht="12.75" x14ac:dyDescent="0.2">
      <c r="A313" s="613" t="s">
        <v>1467</v>
      </c>
      <c r="B313" s="614">
        <v>0</v>
      </c>
      <c r="C313" s="657"/>
      <c r="D313" s="647">
        <v>0</v>
      </c>
      <c r="E313" s="647">
        <v>0</v>
      </c>
      <c r="F313" s="647">
        <v>0</v>
      </c>
      <c r="G313" s="647">
        <v>0</v>
      </c>
      <c r="H313" s="647">
        <v>0</v>
      </c>
      <c r="I313" s="647">
        <v>0</v>
      </c>
      <c r="J313" s="647">
        <v>0</v>
      </c>
      <c r="K313" s="623">
        <f t="shared" si="73"/>
        <v>0</v>
      </c>
      <c r="L313" s="647">
        <v>0</v>
      </c>
      <c r="M313" s="647">
        <v>0</v>
      </c>
      <c r="N313" s="624">
        <f t="shared" si="74"/>
        <v>0</v>
      </c>
      <c r="O313" s="625">
        <f t="shared" si="75"/>
        <v>0</v>
      </c>
      <c r="P313" s="626">
        <f t="shared" si="76"/>
        <v>0</v>
      </c>
      <c r="Q313" s="648">
        <v>0</v>
      </c>
      <c r="R313" s="623"/>
      <c r="S313" s="623">
        <v>0</v>
      </c>
      <c r="T313" s="623">
        <v>0</v>
      </c>
      <c r="U313" s="623">
        <v>0</v>
      </c>
      <c r="V313" s="623">
        <v>0</v>
      </c>
      <c r="W313" s="623">
        <v>0</v>
      </c>
      <c r="X313" s="623">
        <v>0</v>
      </c>
      <c r="Y313" s="623">
        <v>0</v>
      </c>
      <c r="Z313" s="623">
        <f t="shared" si="77"/>
        <v>0</v>
      </c>
      <c r="AA313" s="623">
        <v>0</v>
      </c>
      <c r="AB313" s="623">
        <v>0</v>
      </c>
      <c r="AC313" s="624">
        <v>0</v>
      </c>
      <c r="AD313" s="625">
        <f t="shared" si="78"/>
        <v>0</v>
      </c>
      <c r="AE313" s="626">
        <f t="shared" si="79"/>
        <v>0</v>
      </c>
      <c r="AF313" s="627">
        <f t="shared" si="80"/>
        <v>0</v>
      </c>
      <c r="AG313" s="627">
        <f t="shared" si="80"/>
        <v>0</v>
      </c>
      <c r="AH313" s="628">
        <v>0</v>
      </c>
      <c r="AI313" s="627">
        <f t="shared" si="72"/>
        <v>0</v>
      </c>
    </row>
    <row r="314" spans="1:35" ht="12.75" x14ac:dyDescent="0.2">
      <c r="A314" s="613" t="s">
        <v>1468</v>
      </c>
      <c r="B314" s="614">
        <v>31</v>
      </c>
      <c r="C314" s="657">
        <v>2041</v>
      </c>
      <c r="D314" s="647">
        <v>0</v>
      </c>
      <c r="E314" s="647">
        <v>0</v>
      </c>
      <c r="F314" s="647">
        <v>0</v>
      </c>
      <c r="G314" s="647">
        <v>0</v>
      </c>
      <c r="H314" s="647">
        <v>0</v>
      </c>
      <c r="I314" s="647">
        <v>410</v>
      </c>
      <c r="J314" s="643"/>
      <c r="K314" s="623">
        <f t="shared" si="73"/>
        <v>2451</v>
      </c>
      <c r="L314" s="647">
        <v>1000</v>
      </c>
      <c r="M314" s="647">
        <v>0</v>
      </c>
      <c r="N314" s="624">
        <f t="shared" si="74"/>
        <v>1000</v>
      </c>
      <c r="O314" s="625">
        <f t="shared" si="75"/>
        <v>30412</v>
      </c>
      <c r="P314" s="626">
        <f t="shared" si="76"/>
        <v>942772</v>
      </c>
      <c r="Q314" s="648">
        <v>35</v>
      </c>
      <c r="R314" s="623">
        <v>2041</v>
      </c>
      <c r="S314" s="623">
        <v>0</v>
      </c>
      <c r="T314" s="623">
        <v>0</v>
      </c>
      <c r="U314" s="623">
        <v>0</v>
      </c>
      <c r="V314" s="623">
        <v>0</v>
      </c>
      <c r="W314" s="623">
        <v>0</v>
      </c>
      <c r="X314" s="623">
        <v>568</v>
      </c>
      <c r="Y314" s="623">
        <v>235.36</v>
      </c>
      <c r="Z314" s="623">
        <f t="shared" si="77"/>
        <v>2844.36</v>
      </c>
      <c r="AA314" s="623">
        <v>1000</v>
      </c>
      <c r="AB314" s="623">
        <v>0</v>
      </c>
      <c r="AC314" s="624">
        <v>1000</v>
      </c>
      <c r="AD314" s="625">
        <f t="shared" si="78"/>
        <v>35132.32</v>
      </c>
      <c r="AE314" s="626">
        <f t="shared" si="79"/>
        <v>1229631.2</v>
      </c>
      <c r="AF314" s="627">
        <f t="shared" si="80"/>
        <v>4720.32</v>
      </c>
      <c r="AG314" s="627">
        <f t="shared" si="80"/>
        <v>286859.19999999995</v>
      </c>
      <c r="AH314" s="628">
        <v>35</v>
      </c>
      <c r="AI314" s="627">
        <f t="shared" si="72"/>
        <v>1229631.2</v>
      </c>
    </row>
    <row r="315" spans="1:35" ht="12.75" x14ac:dyDescent="0.2">
      <c r="A315" s="613"/>
      <c r="B315" s="614"/>
      <c r="C315" s="657"/>
      <c r="D315" s="643"/>
      <c r="E315" s="643"/>
      <c r="F315" s="643"/>
      <c r="G315" s="643"/>
      <c r="H315" s="643"/>
      <c r="I315" s="643"/>
      <c r="J315" s="643"/>
      <c r="K315" s="643"/>
      <c r="L315" s="643"/>
      <c r="M315" s="643"/>
      <c r="N315" s="98"/>
      <c r="O315" s="625"/>
      <c r="P315" s="626"/>
      <c r="Q315" s="648"/>
      <c r="R315" s="623"/>
      <c r="S315" s="623"/>
      <c r="T315" s="623"/>
      <c r="U315" s="623"/>
      <c r="V315" s="623"/>
      <c r="W315" s="623"/>
      <c r="X315" s="623"/>
      <c r="Y315" s="623"/>
      <c r="Z315" s="623"/>
      <c r="AA315" s="623"/>
      <c r="AB315" s="623"/>
      <c r="AC315" s="624"/>
      <c r="AD315" s="637"/>
      <c r="AE315" s="628"/>
      <c r="AF315" s="627">
        <f t="shared" si="80"/>
        <v>0</v>
      </c>
      <c r="AG315" s="627">
        <f t="shared" si="80"/>
        <v>0</v>
      </c>
      <c r="AH315" s="628"/>
      <c r="AI315" s="627">
        <f t="shared" si="72"/>
        <v>0</v>
      </c>
    </row>
    <row r="316" spans="1:35" ht="12.75" x14ac:dyDescent="0.2">
      <c r="A316" s="603" t="s">
        <v>1470</v>
      </c>
      <c r="B316" s="615">
        <f>SUM(B317:B321)</f>
        <v>219</v>
      </c>
      <c r="C316" s="652">
        <f>SUM(C317:C321)</f>
        <v>25066</v>
      </c>
      <c r="D316" s="649">
        <v>0</v>
      </c>
      <c r="E316" s="649">
        <v>0</v>
      </c>
      <c r="F316" s="649">
        <v>0</v>
      </c>
      <c r="G316" s="649">
        <v>0</v>
      </c>
      <c r="H316" s="649">
        <v>0</v>
      </c>
      <c r="I316" s="633"/>
      <c r="J316" s="633"/>
      <c r="K316" s="633"/>
      <c r="L316" s="633"/>
      <c r="M316" s="649">
        <v>0</v>
      </c>
      <c r="N316" s="651"/>
      <c r="O316" s="652"/>
      <c r="P316" s="653"/>
      <c r="Q316" s="654">
        <v>229</v>
      </c>
      <c r="R316" s="629">
        <v>25066</v>
      </c>
      <c r="S316" s="629">
        <v>0</v>
      </c>
      <c r="T316" s="629">
        <v>0</v>
      </c>
      <c r="U316" s="629">
        <v>0</v>
      </c>
      <c r="V316" s="629">
        <v>0</v>
      </c>
      <c r="W316" s="629">
        <v>0</v>
      </c>
      <c r="X316" s="629"/>
      <c r="Y316" s="629"/>
      <c r="Z316" s="629"/>
      <c r="AA316" s="629"/>
      <c r="AB316" s="629"/>
      <c r="AC316" s="630"/>
      <c r="AD316" s="630"/>
      <c r="AE316" s="630"/>
      <c r="AF316" s="631"/>
      <c r="AG316" s="631"/>
      <c r="AH316" s="632"/>
      <c r="AI316" s="631"/>
    </row>
    <row r="317" spans="1:35" ht="12.75" x14ac:dyDescent="0.2">
      <c r="A317" s="613" t="s">
        <v>1471</v>
      </c>
      <c r="B317" s="530">
        <v>70</v>
      </c>
      <c r="C317" s="625">
        <v>7266</v>
      </c>
      <c r="D317" s="647">
        <v>0</v>
      </c>
      <c r="E317" s="647">
        <v>0</v>
      </c>
      <c r="F317" s="647">
        <v>0</v>
      </c>
      <c r="G317" s="647">
        <v>0</v>
      </c>
      <c r="H317" s="647">
        <v>0</v>
      </c>
      <c r="I317" s="647">
        <v>1270</v>
      </c>
      <c r="J317" s="647">
        <v>426.88</v>
      </c>
      <c r="K317" s="623">
        <f>SUM(C317:J317)</f>
        <v>8962.8799999999992</v>
      </c>
      <c r="L317" s="647">
        <v>1000</v>
      </c>
      <c r="M317" s="647">
        <v>0</v>
      </c>
      <c r="N317" s="624">
        <f t="shared" ref="N317:N321" si="81">SUM(L317:M317)</f>
        <v>1000</v>
      </c>
      <c r="O317" s="625">
        <f t="shared" ref="O317:O321" si="82">(K317*12)+N317</f>
        <v>108554.56</v>
      </c>
      <c r="P317" s="626">
        <f t="shared" ref="P317:P321" si="83">B317*O317</f>
        <v>7598819.2000000002</v>
      </c>
      <c r="Q317" s="648">
        <v>73</v>
      </c>
      <c r="R317" s="623">
        <v>7266</v>
      </c>
      <c r="S317" s="623">
        <v>0</v>
      </c>
      <c r="T317" s="623">
        <v>0</v>
      </c>
      <c r="U317" s="623">
        <v>0</v>
      </c>
      <c r="V317" s="623">
        <v>0</v>
      </c>
      <c r="W317" s="623">
        <v>0</v>
      </c>
      <c r="X317" s="623">
        <v>2540</v>
      </c>
      <c r="Y317" s="623">
        <v>496.88</v>
      </c>
      <c r="Z317" s="623">
        <f t="shared" ref="Z317:Z321" si="84">SUM(R317:Y317)</f>
        <v>10302.879999999999</v>
      </c>
      <c r="AA317" s="623">
        <v>1000</v>
      </c>
      <c r="AB317" s="623">
        <v>0</v>
      </c>
      <c r="AC317" s="624">
        <v>1000</v>
      </c>
      <c r="AD317" s="625">
        <f t="shared" ref="AD317:AD321" si="85">(Z317*12)+AC317</f>
        <v>124634.56</v>
      </c>
      <c r="AE317" s="626">
        <f t="shared" ref="AE317:AE321" si="86">Q317*AD317</f>
        <v>9098322.879999999</v>
      </c>
      <c r="AF317" s="627">
        <f t="shared" ref="AF317:AG321" si="87">+AD317-O317</f>
        <v>16080</v>
      </c>
      <c r="AG317" s="627">
        <f t="shared" si="87"/>
        <v>1499503.6799999988</v>
      </c>
      <c r="AH317" s="628">
        <v>75</v>
      </c>
      <c r="AI317" s="627">
        <f t="shared" ref="AI317:AI322" si="88">+AH317*AD317</f>
        <v>9347592</v>
      </c>
    </row>
    <row r="318" spans="1:35" ht="12.75" x14ac:dyDescent="0.2">
      <c r="A318" s="613" t="s">
        <v>1472</v>
      </c>
      <c r="B318" s="614">
        <v>0</v>
      </c>
      <c r="C318" s="625"/>
      <c r="D318" s="647">
        <v>0</v>
      </c>
      <c r="E318" s="647">
        <v>0</v>
      </c>
      <c r="F318" s="647">
        <v>0</v>
      </c>
      <c r="G318" s="647">
        <v>0</v>
      </c>
      <c r="H318" s="647">
        <v>0</v>
      </c>
      <c r="I318" s="647">
        <v>0</v>
      </c>
      <c r="J318" s="647">
        <v>0</v>
      </c>
      <c r="K318" s="623">
        <f t="shared" ref="K318:K321" si="89">SUM(C318:J318)</f>
        <v>0</v>
      </c>
      <c r="L318" s="647">
        <v>1000</v>
      </c>
      <c r="M318" s="647">
        <v>0</v>
      </c>
      <c r="N318" s="624">
        <f t="shared" si="81"/>
        <v>1000</v>
      </c>
      <c r="O318" s="625">
        <f t="shared" si="82"/>
        <v>1000</v>
      </c>
      <c r="P318" s="626">
        <f t="shared" si="83"/>
        <v>0</v>
      </c>
      <c r="Q318" s="648"/>
      <c r="R318" s="623"/>
      <c r="S318" s="623">
        <v>0</v>
      </c>
      <c r="T318" s="623">
        <v>0</v>
      </c>
      <c r="U318" s="623">
        <v>0</v>
      </c>
      <c r="V318" s="623">
        <v>0</v>
      </c>
      <c r="W318" s="623">
        <v>0</v>
      </c>
      <c r="X318" s="623">
        <v>0</v>
      </c>
      <c r="Y318" s="623">
        <v>0</v>
      </c>
      <c r="Z318" s="623">
        <f t="shared" si="84"/>
        <v>0</v>
      </c>
      <c r="AA318" s="623">
        <v>1000</v>
      </c>
      <c r="AB318" s="623">
        <v>0</v>
      </c>
      <c r="AC318" s="624">
        <v>1000</v>
      </c>
      <c r="AD318" s="625">
        <f t="shared" si="85"/>
        <v>1000</v>
      </c>
      <c r="AE318" s="626">
        <f t="shared" si="86"/>
        <v>0</v>
      </c>
      <c r="AF318" s="627">
        <f t="shared" si="87"/>
        <v>0</v>
      </c>
      <c r="AG318" s="627">
        <f t="shared" si="87"/>
        <v>0</v>
      </c>
      <c r="AH318" s="628"/>
      <c r="AI318" s="627">
        <f t="shared" si="88"/>
        <v>0</v>
      </c>
    </row>
    <row r="319" spans="1:35" ht="12.75" x14ac:dyDescent="0.2">
      <c r="A319" s="613" t="s">
        <v>1473</v>
      </c>
      <c r="B319" s="530">
        <v>11</v>
      </c>
      <c r="C319" s="625">
        <v>6336</v>
      </c>
      <c r="D319" s="647">
        <v>0</v>
      </c>
      <c r="E319" s="647">
        <v>0</v>
      </c>
      <c r="F319" s="647">
        <v>0</v>
      </c>
      <c r="G319" s="647">
        <v>0</v>
      </c>
      <c r="H319" s="647">
        <v>0</v>
      </c>
      <c r="I319" s="647">
        <v>1270</v>
      </c>
      <c r="J319" s="647">
        <v>377.3</v>
      </c>
      <c r="K319" s="623">
        <f t="shared" si="89"/>
        <v>7983.3</v>
      </c>
      <c r="L319" s="647">
        <v>1000</v>
      </c>
      <c r="M319" s="647">
        <v>0</v>
      </c>
      <c r="N319" s="624">
        <f t="shared" si="81"/>
        <v>1000</v>
      </c>
      <c r="O319" s="625">
        <f t="shared" si="82"/>
        <v>96799.6</v>
      </c>
      <c r="P319" s="626">
        <f t="shared" si="83"/>
        <v>1064795.6000000001</v>
      </c>
      <c r="Q319" s="648">
        <v>9</v>
      </c>
      <c r="R319" s="623">
        <v>6336</v>
      </c>
      <c r="S319" s="623">
        <v>0</v>
      </c>
      <c r="T319" s="623">
        <v>0</v>
      </c>
      <c r="U319" s="623">
        <v>0</v>
      </c>
      <c r="V319" s="623">
        <v>0</v>
      </c>
      <c r="W319" s="623">
        <v>0</v>
      </c>
      <c r="X319" s="623">
        <v>1270</v>
      </c>
      <c r="Y319" s="623">
        <v>477.3</v>
      </c>
      <c r="Z319" s="623">
        <f t="shared" si="84"/>
        <v>8083.3</v>
      </c>
      <c r="AA319" s="623">
        <v>1000</v>
      </c>
      <c r="AB319" s="623">
        <v>0</v>
      </c>
      <c r="AC319" s="624">
        <v>1000</v>
      </c>
      <c r="AD319" s="625">
        <f t="shared" si="85"/>
        <v>97999.6</v>
      </c>
      <c r="AE319" s="626">
        <f t="shared" si="86"/>
        <v>881996.4</v>
      </c>
      <c r="AF319" s="627">
        <f t="shared" si="87"/>
        <v>1200</v>
      </c>
      <c r="AG319" s="627">
        <f t="shared" si="87"/>
        <v>-182799.20000000007</v>
      </c>
      <c r="AH319" s="628">
        <v>11</v>
      </c>
      <c r="AI319" s="627">
        <f t="shared" si="88"/>
        <v>1077995.6000000001</v>
      </c>
    </row>
    <row r="320" spans="1:35" ht="12.75" x14ac:dyDescent="0.2">
      <c r="A320" s="613" t="s">
        <v>1474</v>
      </c>
      <c r="B320" s="530">
        <v>41</v>
      </c>
      <c r="C320" s="625">
        <v>5932</v>
      </c>
      <c r="D320" s="647">
        <v>0</v>
      </c>
      <c r="E320" s="647">
        <v>0</v>
      </c>
      <c r="F320" s="647">
        <v>0</v>
      </c>
      <c r="G320" s="647">
        <v>0</v>
      </c>
      <c r="H320" s="647">
        <v>0</v>
      </c>
      <c r="I320" s="647">
        <v>1270</v>
      </c>
      <c r="J320" s="647">
        <v>453.26</v>
      </c>
      <c r="K320" s="623">
        <f t="shared" si="89"/>
        <v>7655.26</v>
      </c>
      <c r="L320" s="647">
        <v>1000</v>
      </c>
      <c r="M320" s="647">
        <v>0</v>
      </c>
      <c r="N320" s="624">
        <f t="shared" si="81"/>
        <v>1000</v>
      </c>
      <c r="O320" s="625">
        <f t="shared" si="82"/>
        <v>92863.12</v>
      </c>
      <c r="P320" s="626">
        <f t="shared" si="83"/>
        <v>3807387.92</v>
      </c>
      <c r="Q320" s="648">
        <v>44</v>
      </c>
      <c r="R320" s="623">
        <v>5932</v>
      </c>
      <c r="S320" s="623">
        <v>0</v>
      </c>
      <c r="T320" s="623">
        <v>0</v>
      </c>
      <c r="U320" s="623">
        <v>0</v>
      </c>
      <c r="V320" s="623">
        <v>0</v>
      </c>
      <c r="W320" s="623">
        <v>0</v>
      </c>
      <c r="X320" s="623">
        <v>1270</v>
      </c>
      <c r="Y320" s="623">
        <v>453.26</v>
      </c>
      <c r="Z320" s="623">
        <f t="shared" si="84"/>
        <v>7655.26</v>
      </c>
      <c r="AA320" s="623">
        <v>1000</v>
      </c>
      <c r="AB320" s="623">
        <v>0</v>
      </c>
      <c r="AC320" s="624">
        <v>1000</v>
      </c>
      <c r="AD320" s="625">
        <f t="shared" si="85"/>
        <v>92863.12</v>
      </c>
      <c r="AE320" s="626">
        <f t="shared" si="86"/>
        <v>4085977.28</v>
      </c>
      <c r="AF320" s="627">
        <f t="shared" si="87"/>
        <v>0</v>
      </c>
      <c r="AG320" s="627">
        <f t="shared" si="87"/>
        <v>278589.35999999987</v>
      </c>
      <c r="AH320" s="628">
        <v>44</v>
      </c>
      <c r="AI320" s="627">
        <f t="shared" si="88"/>
        <v>4085977.28</v>
      </c>
    </row>
    <row r="321" spans="1:35" ht="12.75" x14ac:dyDescent="0.2">
      <c r="A321" s="613" t="s">
        <v>1475</v>
      </c>
      <c r="B321" s="530">
        <v>97</v>
      </c>
      <c r="C321" s="625">
        <v>5532</v>
      </c>
      <c r="D321" s="647">
        <v>0</v>
      </c>
      <c r="E321" s="647">
        <v>0</v>
      </c>
      <c r="F321" s="647">
        <v>0</v>
      </c>
      <c r="G321" s="647">
        <v>0</v>
      </c>
      <c r="H321" s="647">
        <v>0</v>
      </c>
      <c r="I321" s="647">
        <v>1270</v>
      </c>
      <c r="J321" s="647">
        <v>361.92</v>
      </c>
      <c r="K321" s="623">
        <f t="shared" si="89"/>
        <v>7163.92</v>
      </c>
      <c r="L321" s="647">
        <v>1000</v>
      </c>
      <c r="M321" s="647">
        <v>0</v>
      </c>
      <c r="N321" s="624">
        <f t="shared" si="81"/>
        <v>1000</v>
      </c>
      <c r="O321" s="625">
        <f t="shared" si="82"/>
        <v>86967.040000000008</v>
      </c>
      <c r="P321" s="626">
        <f t="shared" si="83"/>
        <v>8435802.8800000008</v>
      </c>
      <c r="Q321" s="648">
        <v>103</v>
      </c>
      <c r="R321" s="623">
        <v>5532</v>
      </c>
      <c r="S321" s="623">
        <v>0</v>
      </c>
      <c r="T321" s="623">
        <v>0</v>
      </c>
      <c r="U321" s="623">
        <v>0</v>
      </c>
      <c r="V321" s="623">
        <v>0</v>
      </c>
      <c r="W321" s="623">
        <v>0</v>
      </c>
      <c r="X321" s="623">
        <v>1270</v>
      </c>
      <c r="Y321" s="623">
        <v>371.92</v>
      </c>
      <c r="Z321" s="623">
        <f t="shared" si="84"/>
        <v>7173.92</v>
      </c>
      <c r="AA321" s="623">
        <v>1000</v>
      </c>
      <c r="AB321" s="623">
        <v>0</v>
      </c>
      <c r="AC321" s="624">
        <v>1000</v>
      </c>
      <c r="AD321" s="625">
        <f t="shared" si="85"/>
        <v>87087.040000000008</v>
      </c>
      <c r="AE321" s="626">
        <f t="shared" si="86"/>
        <v>8969965.120000001</v>
      </c>
      <c r="AF321" s="627">
        <f t="shared" si="87"/>
        <v>120</v>
      </c>
      <c r="AG321" s="627">
        <f t="shared" si="87"/>
        <v>534162.24000000022</v>
      </c>
      <c r="AH321" s="628">
        <v>110</v>
      </c>
      <c r="AI321" s="627">
        <f t="shared" si="88"/>
        <v>9579574.4000000004</v>
      </c>
    </row>
    <row r="322" spans="1:35" x14ac:dyDescent="0.2">
      <c r="A322" s="617" t="s">
        <v>1476</v>
      </c>
      <c r="B322" s="614"/>
      <c r="C322" s="643"/>
      <c r="D322" s="647"/>
      <c r="E322" s="643"/>
      <c r="F322" s="643"/>
      <c r="G322" s="643"/>
      <c r="H322" s="643"/>
      <c r="I322" s="643"/>
      <c r="J322" s="647"/>
      <c r="K322" s="643"/>
      <c r="L322" s="643"/>
      <c r="M322" s="643"/>
      <c r="N322" s="98"/>
      <c r="O322" s="625"/>
      <c r="P322" s="626"/>
      <c r="Q322" s="648"/>
      <c r="R322" s="623"/>
      <c r="S322" s="623"/>
      <c r="T322" s="623"/>
      <c r="U322" s="623"/>
      <c r="V322" s="623"/>
      <c r="W322" s="623"/>
      <c r="X322" s="623"/>
      <c r="Y322" s="623"/>
      <c r="Z322" s="623"/>
      <c r="AA322" s="623"/>
      <c r="AB322" s="623"/>
      <c r="AC322" s="624"/>
      <c r="AD322" s="637"/>
      <c r="AE322" s="628"/>
      <c r="AF322" s="627"/>
      <c r="AG322" s="627"/>
      <c r="AH322" s="628"/>
      <c r="AI322" s="627">
        <f t="shared" si="88"/>
        <v>0</v>
      </c>
    </row>
    <row r="323" spans="1:35" x14ac:dyDescent="0.2">
      <c r="A323" s="617" t="s">
        <v>1477</v>
      </c>
      <c r="B323" s="615">
        <f>SUM(B324:B328)</f>
        <v>124</v>
      </c>
      <c r="C323" s="633">
        <f>SUM(C324:C328)</f>
        <v>19533</v>
      </c>
      <c r="D323" s="649">
        <v>0</v>
      </c>
      <c r="E323" s="649">
        <v>0</v>
      </c>
      <c r="F323" s="649">
        <v>0</v>
      </c>
      <c r="G323" s="649">
        <v>0</v>
      </c>
      <c r="H323" s="649">
        <v>0</v>
      </c>
      <c r="I323" s="633"/>
      <c r="J323" s="633"/>
      <c r="K323" s="633"/>
      <c r="L323" s="633"/>
      <c r="M323" s="649">
        <v>0</v>
      </c>
      <c r="N323" s="651"/>
      <c r="O323" s="652"/>
      <c r="P323" s="653"/>
      <c r="Q323" s="654">
        <v>121</v>
      </c>
      <c r="R323" s="629">
        <v>19533</v>
      </c>
      <c r="S323" s="629">
        <v>0</v>
      </c>
      <c r="T323" s="629">
        <v>0</v>
      </c>
      <c r="U323" s="629">
        <v>0</v>
      </c>
      <c r="V323" s="629">
        <v>0</v>
      </c>
      <c r="W323" s="629">
        <v>0</v>
      </c>
      <c r="X323" s="629"/>
      <c r="Y323" s="629"/>
      <c r="Z323" s="629"/>
      <c r="AA323" s="629"/>
      <c r="AB323" s="629"/>
      <c r="AC323" s="630"/>
      <c r="AD323" s="630"/>
      <c r="AE323" s="630"/>
      <c r="AF323" s="631"/>
      <c r="AG323" s="631"/>
      <c r="AH323" s="632"/>
      <c r="AI323" s="631"/>
    </row>
    <row r="324" spans="1:35" x14ac:dyDescent="0.2">
      <c r="A324" s="618" t="s">
        <v>1478</v>
      </c>
      <c r="B324" s="614">
        <v>12</v>
      </c>
      <c r="C324" s="623">
        <v>4471</v>
      </c>
      <c r="D324" s="647">
        <v>0</v>
      </c>
      <c r="E324" s="647">
        <v>0</v>
      </c>
      <c r="F324" s="647">
        <v>0</v>
      </c>
      <c r="G324" s="647">
        <v>0</v>
      </c>
      <c r="H324" s="647">
        <v>0</v>
      </c>
      <c r="I324" s="647">
        <v>730</v>
      </c>
      <c r="J324" s="647">
        <v>197.63</v>
      </c>
      <c r="K324" s="623">
        <f>SUM(C324:J324)</f>
        <v>5398.63</v>
      </c>
      <c r="L324" s="647">
        <v>1000</v>
      </c>
      <c r="M324" s="647">
        <v>0</v>
      </c>
      <c r="N324" s="624">
        <f t="shared" ref="N324:N328" si="90">SUM(L324:M324)</f>
        <v>1000</v>
      </c>
      <c r="O324" s="625">
        <f t="shared" ref="O324:O328" si="91">(K324*12)+N324</f>
        <v>65783.56</v>
      </c>
      <c r="P324" s="626">
        <f t="shared" ref="P324:P328" si="92">B324*O324</f>
        <v>789402.72</v>
      </c>
      <c r="Q324" s="648">
        <v>11</v>
      </c>
      <c r="R324" s="623">
        <v>4471</v>
      </c>
      <c r="S324" s="623">
        <v>0</v>
      </c>
      <c r="T324" s="623">
        <v>0</v>
      </c>
      <c r="U324" s="623">
        <v>0</v>
      </c>
      <c r="V324" s="623">
        <v>0</v>
      </c>
      <c r="W324" s="623">
        <v>0</v>
      </c>
      <c r="X324" s="623">
        <v>730</v>
      </c>
      <c r="Y324" s="623">
        <v>395.63</v>
      </c>
      <c r="Z324" s="623">
        <f t="shared" ref="Z324:Z328" si="93">SUM(R324:Y324)</f>
        <v>5596.63</v>
      </c>
      <c r="AA324" s="623">
        <v>1000</v>
      </c>
      <c r="AB324" s="623">
        <v>0</v>
      </c>
      <c r="AC324" s="624">
        <v>1000</v>
      </c>
      <c r="AD324" s="625">
        <f t="shared" ref="AD324:AD328" si="94">(Z324*12)+AC324</f>
        <v>68159.56</v>
      </c>
      <c r="AE324" s="626">
        <f t="shared" ref="AE324:AE328" si="95">Q324*AD324</f>
        <v>749755.15999999992</v>
      </c>
      <c r="AF324" s="627">
        <f t="shared" ref="AF324:AG328" si="96">+AD324-O324</f>
        <v>2376</v>
      </c>
      <c r="AG324" s="627">
        <f t="shared" si="96"/>
        <v>-39647.560000000056</v>
      </c>
      <c r="AH324" s="628">
        <v>12</v>
      </c>
      <c r="AI324" s="627">
        <f>+AH324*AD324</f>
        <v>817914.72</v>
      </c>
    </row>
    <row r="325" spans="1:35" x14ac:dyDescent="0.2">
      <c r="A325" s="618" t="s">
        <v>1479</v>
      </c>
      <c r="B325" s="614">
        <v>1</v>
      </c>
      <c r="C325" s="623">
        <v>4158</v>
      </c>
      <c r="D325" s="647">
        <v>0</v>
      </c>
      <c r="E325" s="647">
        <v>0</v>
      </c>
      <c r="F325" s="647">
        <v>0</v>
      </c>
      <c r="G325" s="647">
        <v>0</v>
      </c>
      <c r="H325" s="647">
        <v>0</v>
      </c>
      <c r="I325" s="647">
        <v>730</v>
      </c>
      <c r="J325" s="647">
        <v>188.93</v>
      </c>
      <c r="K325" s="623">
        <f t="shared" ref="K325:K328" si="97">SUM(C325:J325)</f>
        <v>5076.93</v>
      </c>
      <c r="L325" s="647">
        <v>1000</v>
      </c>
      <c r="M325" s="647">
        <v>0</v>
      </c>
      <c r="N325" s="624">
        <f t="shared" si="90"/>
        <v>1000</v>
      </c>
      <c r="O325" s="625">
        <f t="shared" si="91"/>
        <v>61923.16</v>
      </c>
      <c r="P325" s="626">
        <f t="shared" si="92"/>
        <v>61923.16</v>
      </c>
      <c r="Q325" s="648">
        <v>1</v>
      </c>
      <c r="R325" s="623">
        <v>4158</v>
      </c>
      <c r="S325" s="623">
        <v>0</v>
      </c>
      <c r="T325" s="623">
        <v>0</v>
      </c>
      <c r="U325" s="623">
        <v>0</v>
      </c>
      <c r="V325" s="623">
        <v>0</v>
      </c>
      <c r="W325" s="623">
        <v>0</v>
      </c>
      <c r="X325" s="623">
        <v>730</v>
      </c>
      <c r="Y325" s="623">
        <v>298.93</v>
      </c>
      <c r="Z325" s="623">
        <f t="shared" si="93"/>
        <v>5186.93</v>
      </c>
      <c r="AA325" s="623">
        <v>1000</v>
      </c>
      <c r="AB325" s="623">
        <v>0</v>
      </c>
      <c r="AC325" s="624">
        <v>1000</v>
      </c>
      <c r="AD325" s="625">
        <f t="shared" si="94"/>
        <v>63243.16</v>
      </c>
      <c r="AE325" s="626">
        <f t="shared" si="95"/>
        <v>63243.16</v>
      </c>
      <c r="AF325" s="627">
        <f t="shared" si="96"/>
        <v>1320</v>
      </c>
      <c r="AG325" s="627">
        <f t="shared" si="96"/>
        <v>1320</v>
      </c>
      <c r="AH325" s="628">
        <v>1</v>
      </c>
      <c r="AI325" s="627">
        <f>+AH325*AD325</f>
        <v>63243.16</v>
      </c>
    </row>
    <row r="326" spans="1:35" x14ac:dyDescent="0.2">
      <c r="A326" s="618" t="s">
        <v>1480</v>
      </c>
      <c r="B326" s="614">
        <v>4</v>
      </c>
      <c r="C326" s="623">
        <v>3900</v>
      </c>
      <c r="D326" s="647">
        <v>0</v>
      </c>
      <c r="E326" s="647">
        <v>0</v>
      </c>
      <c r="F326" s="647">
        <v>0</v>
      </c>
      <c r="G326" s="647">
        <v>0</v>
      </c>
      <c r="H326" s="647">
        <v>0</v>
      </c>
      <c r="I326" s="647">
        <v>730</v>
      </c>
      <c r="J326" s="647">
        <v>184.56</v>
      </c>
      <c r="K326" s="623">
        <f t="shared" si="97"/>
        <v>4814.5600000000004</v>
      </c>
      <c r="L326" s="647">
        <v>1000</v>
      </c>
      <c r="M326" s="647">
        <v>0</v>
      </c>
      <c r="N326" s="624">
        <f t="shared" si="90"/>
        <v>1000</v>
      </c>
      <c r="O326" s="625">
        <f t="shared" si="91"/>
        <v>58774.720000000001</v>
      </c>
      <c r="P326" s="626">
        <f t="shared" si="92"/>
        <v>235098.88</v>
      </c>
      <c r="Q326" s="648">
        <v>4</v>
      </c>
      <c r="R326" s="623">
        <v>3900</v>
      </c>
      <c r="S326" s="623">
        <v>0</v>
      </c>
      <c r="T326" s="623">
        <v>0</v>
      </c>
      <c r="U326" s="623">
        <v>0</v>
      </c>
      <c r="V326" s="623">
        <v>0</v>
      </c>
      <c r="W326" s="623">
        <v>0</v>
      </c>
      <c r="X326" s="623">
        <v>730</v>
      </c>
      <c r="Y326" s="623">
        <v>295.56</v>
      </c>
      <c r="Z326" s="623">
        <f t="shared" si="93"/>
        <v>4925.5600000000004</v>
      </c>
      <c r="AA326" s="623">
        <v>1000</v>
      </c>
      <c r="AB326" s="623">
        <v>0</v>
      </c>
      <c r="AC326" s="624">
        <v>1000</v>
      </c>
      <c r="AD326" s="625">
        <f t="shared" si="94"/>
        <v>60106.720000000001</v>
      </c>
      <c r="AE326" s="626">
        <f t="shared" si="95"/>
        <v>240426.88</v>
      </c>
      <c r="AF326" s="627">
        <f t="shared" si="96"/>
        <v>1332</v>
      </c>
      <c r="AG326" s="627">
        <f t="shared" si="96"/>
        <v>5328</v>
      </c>
      <c r="AH326" s="628">
        <v>4</v>
      </c>
      <c r="AI326" s="627">
        <f>+AH326*AD326</f>
        <v>240426.88</v>
      </c>
    </row>
    <row r="327" spans="1:35" x14ac:dyDescent="0.2">
      <c r="A327" s="619" t="s">
        <v>1481</v>
      </c>
      <c r="B327" s="614">
        <v>14</v>
      </c>
      <c r="C327" s="623">
        <v>3660</v>
      </c>
      <c r="D327" s="647">
        <v>0</v>
      </c>
      <c r="E327" s="647">
        <v>0</v>
      </c>
      <c r="F327" s="647">
        <v>0</v>
      </c>
      <c r="G327" s="647">
        <v>0</v>
      </c>
      <c r="H327" s="647">
        <v>0</v>
      </c>
      <c r="I327" s="647">
        <v>730</v>
      </c>
      <c r="J327" s="647">
        <v>180.09</v>
      </c>
      <c r="K327" s="623">
        <f t="shared" si="97"/>
        <v>4570.09</v>
      </c>
      <c r="L327" s="647">
        <v>1000</v>
      </c>
      <c r="M327" s="647">
        <v>0</v>
      </c>
      <c r="N327" s="624">
        <f t="shared" si="90"/>
        <v>1000</v>
      </c>
      <c r="O327" s="625">
        <f t="shared" si="91"/>
        <v>55841.08</v>
      </c>
      <c r="P327" s="626">
        <f t="shared" si="92"/>
        <v>781775.12</v>
      </c>
      <c r="Q327" s="648">
        <v>12</v>
      </c>
      <c r="R327" s="623">
        <v>3660</v>
      </c>
      <c r="S327" s="623">
        <v>0</v>
      </c>
      <c r="T327" s="623">
        <v>0</v>
      </c>
      <c r="U327" s="623">
        <v>0</v>
      </c>
      <c r="V327" s="623">
        <v>0</v>
      </c>
      <c r="W327" s="623">
        <v>0</v>
      </c>
      <c r="X327" s="623">
        <v>730</v>
      </c>
      <c r="Y327" s="623">
        <v>285.08999999999997</v>
      </c>
      <c r="Z327" s="623">
        <f t="shared" si="93"/>
        <v>4675.09</v>
      </c>
      <c r="AA327" s="623">
        <v>1000</v>
      </c>
      <c r="AB327" s="623">
        <v>0</v>
      </c>
      <c r="AC327" s="624">
        <v>1000</v>
      </c>
      <c r="AD327" s="625">
        <f t="shared" si="94"/>
        <v>57101.08</v>
      </c>
      <c r="AE327" s="626">
        <f t="shared" si="95"/>
        <v>685212.96</v>
      </c>
      <c r="AF327" s="627">
        <f t="shared" si="96"/>
        <v>1260</v>
      </c>
      <c r="AG327" s="627">
        <f t="shared" si="96"/>
        <v>-96562.160000000033</v>
      </c>
      <c r="AH327" s="628">
        <v>14</v>
      </c>
      <c r="AI327" s="627">
        <f>+AH327*AD327</f>
        <v>799415.12</v>
      </c>
    </row>
    <row r="328" spans="1:35" x14ac:dyDescent="0.2">
      <c r="A328" s="619" t="s">
        <v>1482</v>
      </c>
      <c r="B328" s="614">
        <v>93</v>
      </c>
      <c r="C328" s="638">
        <v>3344</v>
      </c>
      <c r="D328" s="647">
        <v>0</v>
      </c>
      <c r="E328" s="647">
        <v>0</v>
      </c>
      <c r="F328" s="647">
        <v>0</v>
      </c>
      <c r="G328" s="647">
        <v>0</v>
      </c>
      <c r="H328" s="647">
        <v>0</v>
      </c>
      <c r="I328" s="647">
        <v>730</v>
      </c>
      <c r="J328" s="647">
        <v>175.31</v>
      </c>
      <c r="K328" s="623">
        <f t="shared" si="97"/>
        <v>4249.3100000000004</v>
      </c>
      <c r="L328" s="647">
        <v>1000</v>
      </c>
      <c r="M328" s="647">
        <v>0</v>
      </c>
      <c r="N328" s="624">
        <f t="shared" si="90"/>
        <v>1000</v>
      </c>
      <c r="O328" s="625">
        <f t="shared" si="91"/>
        <v>51991.72</v>
      </c>
      <c r="P328" s="626">
        <f t="shared" si="92"/>
        <v>4835229.96</v>
      </c>
      <c r="Q328" s="660">
        <v>93</v>
      </c>
      <c r="R328" s="638">
        <v>3344</v>
      </c>
      <c r="S328" s="638">
        <v>0</v>
      </c>
      <c r="T328" s="638">
        <v>0</v>
      </c>
      <c r="U328" s="638">
        <v>0</v>
      </c>
      <c r="V328" s="638">
        <v>0</v>
      </c>
      <c r="W328" s="638">
        <v>0</v>
      </c>
      <c r="X328" s="638">
        <v>730</v>
      </c>
      <c r="Y328" s="638">
        <v>276.31</v>
      </c>
      <c r="Z328" s="623">
        <f t="shared" si="93"/>
        <v>4350.3100000000004</v>
      </c>
      <c r="AA328" s="638">
        <v>1000</v>
      </c>
      <c r="AB328" s="638">
        <v>0</v>
      </c>
      <c r="AC328" s="624">
        <v>1000</v>
      </c>
      <c r="AD328" s="625">
        <f t="shared" si="94"/>
        <v>53203.72</v>
      </c>
      <c r="AE328" s="626">
        <f t="shared" si="95"/>
        <v>4947945.96</v>
      </c>
      <c r="AF328" s="627">
        <f t="shared" si="96"/>
        <v>1212</v>
      </c>
      <c r="AG328" s="627">
        <f t="shared" si="96"/>
        <v>112716</v>
      </c>
      <c r="AH328" s="628">
        <v>96</v>
      </c>
      <c r="AI328" s="627">
        <f>+AH328*AD328</f>
        <v>5107557.12</v>
      </c>
    </row>
    <row r="329" spans="1:35" x14ac:dyDescent="0.2">
      <c r="A329" s="620" t="s">
        <v>1483</v>
      </c>
      <c r="B329" s="615">
        <f>SUM(B330:B334)</f>
        <v>115</v>
      </c>
      <c r="C329" s="633">
        <f>SUM(C330:C334)</f>
        <v>15375</v>
      </c>
      <c r="D329" s="649">
        <v>0</v>
      </c>
      <c r="E329" s="649">
        <v>0</v>
      </c>
      <c r="F329" s="649">
        <v>0</v>
      </c>
      <c r="G329" s="649">
        <v>0</v>
      </c>
      <c r="H329" s="649">
        <v>0</v>
      </c>
      <c r="I329" s="633"/>
      <c r="J329" s="633"/>
      <c r="K329" s="633"/>
      <c r="L329" s="633"/>
      <c r="M329" s="649">
        <v>0</v>
      </c>
      <c r="N329" s="651"/>
      <c r="O329" s="652"/>
      <c r="P329" s="653"/>
      <c r="Q329" s="656">
        <v>115</v>
      </c>
      <c r="R329" s="633">
        <v>15375</v>
      </c>
      <c r="S329" s="633">
        <v>0</v>
      </c>
      <c r="T329" s="633">
        <v>0</v>
      </c>
      <c r="U329" s="633">
        <v>0</v>
      </c>
      <c r="V329" s="633">
        <v>0</v>
      </c>
      <c r="W329" s="633">
        <v>0</v>
      </c>
      <c r="X329" s="633"/>
      <c r="Y329" s="633"/>
      <c r="Z329" s="633"/>
      <c r="AA329" s="633"/>
      <c r="AB329" s="633"/>
      <c r="AC329" s="639"/>
      <c r="AD329" s="639"/>
      <c r="AE329" s="639"/>
      <c r="AF329" s="631"/>
      <c r="AG329" s="631"/>
      <c r="AH329" s="632"/>
      <c r="AI329" s="631"/>
    </row>
    <row r="330" spans="1:35" x14ac:dyDescent="0.2">
      <c r="A330" s="619" t="s">
        <v>1484</v>
      </c>
      <c r="B330" s="614">
        <v>15</v>
      </c>
      <c r="C330" s="623">
        <v>4471</v>
      </c>
      <c r="D330" s="647">
        <v>0</v>
      </c>
      <c r="E330" s="647">
        <v>0</v>
      </c>
      <c r="F330" s="647">
        <v>0</v>
      </c>
      <c r="G330" s="647">
        <v>0</v>
      </c>
      <c r="H330" s="647">
        <v>0</v>
      </c>
      <c r="I330" s="647">
        <v>730</v>
      </c>
      <c r="J330" s="647">
        <v>395.4</v>
      </c>
      <c r="K330" s="623">
        <f>SUM(C330:J330)</f>
        <v>5596.4</v>
      </c>
      <c r="L330" s="647">
        <v>1000</v>
      </c>
      <c r="M330" s="647">
        <v>0</v>
      </c>
      <c r="N330" s="624">
        <f t="shared" ref="N330:N334" si="98">SUM(L330:M330)</f>
        <v>1000</v>
      </c>
      <c r="O330" s="625">
        <f t="shared" ref="O330:O334" si="99">(K330*12)+N330</f>
        <v>68156.799999999988</v>
      </c>
      <c r="P330" s="626">
        <f t="shared" ref="P330:P334" si="100">B330*O330</f>
        <v>1022351.9999999998</v>
      </c>
      <c r="Q330" s="648">
        <v>15</v>
      </c>
      <c r="R330" s="623">
        <v>4471</v>
      </c>
      <c r="S330" s="623">
        <v>0</v>
      </c>
      <c r="T330" s="623">
        <v>0</v>
      </c>
      <c r="U330" s="623">
        <v>0</v>
      </c>
      <c r="V330" s="623">
        <v>0</v>
      </c>
      <c r="W330" s="623">
        <v>0</v>
      </c>
      <c r="X330" s="623">
        <v>730</v>
      </c>
      <c r="Y330" s="623">
        <v>395.4</v>
      </c>
      <c r="Z330" s="623">
        <f t="shared" ref="Z330:Z334" si="101">SUM(R330:Y330)</f>
        <v>5596.4</v>
      </c>
      <c r="AA330" s="623">
        <v>1000</v>
      </c>
      <c r="AB330" s="623">
        <v>0</v>
      </c>
      <c r="AC330" s="624">
        <v>1000</v>
      </c>
      <c r="AD330" s="625">
        <f t="shared" ref="AD330:AD334" si="102">(Z330*12)+AC330</f>
        <v>68156.799999999988</v>
      </c>
      <c r="AE330" s="626">
        <f t="shared" ref="AE330:AE334" si="103">Q330*AD330</f>
        <v>1022351.9999999998</v>
      </c>
      <c r="AF330" s="627">
        <f t="shared" ref="AF330:AG334" si="104">+AD330-O330</f>
        <v>0</v>
      </c>
      <c r="AG330" s="627">
        <f t="shared" si="104"/>
        <v>0</v>
      </c>
      <c r="AH330" s="628">
        <v>14</v>
      </c>
      <c r="AI330" s="627">
        <f>+AH330*AD330</f>
        <v>954195.19999999984</v>
      </c>
    </row>
    <row r="331" spans="1:35" x14ac:dyDescent="0.2">
      <c r="A331" s="619" t="s">
        <v>1485</v>
      </c>
      <c r="B331" s="614"/>
      <c r="C331" s="623">
        <v>0</v>
      </c>
      <c r="D331" s="647">
        <v>0</v>
      </c>
      <c r="E331" s="647">
        <v>0</v>
      </c>
      <c r="F331" s="647">
        <v>0</v>
      </c>
      <c r="G331" s="647">
        <v>0</v>
      </c>
      <c r="H331" s="647">
        <v>0</v>
      </c>
      <c r="I331" s="647">
        <v>0</v>
      </c>
      <c r="J331" s="647">
        <v>0</v>
      </c>
      <c r="K331" s="623">
        <f t="shared" ref="K331:K334" si="105">SUM(C331:J331)</f>
        <v>0</v>
      </c>
      <c r="L331" s="647">
        <v>0</v>
      </c>
      <c r="M331" s="647">
        <v>0</v>
      </c>
      <c r="N331" s="624">
        <f t="shared" si="98"/>
        <v>0</v>
      </c>
      <c r="O331" s="625">
        <f t="shared" si="99"/>
        <v>0</v>
      </c>
      <c r="P331" s="626">
        <f t="shared" si="100"/>
        <v>0</v>
      </c>
      <c r="Q331" s="648"/>
      <c r="R331" s="623">
        <v>0</v>
      </c>
      <c r="S331" s="623">
        <v>0</v>
      </c>
      <c r="T331" s="623">
        <v>0</v>
      </c>
      <c r="U331" s="623">
        <v>0</v>
      </c>
      <c r="V331" s="623">
        <v>0</v>
      </c>
      <c r="W331" s="623">
        <v>0</v>
      </c>
      <c r="X331" s="623">
        <v>0</v>
      </c>
      <c r="Y331" s="623">
        <v>0</v>
      </c>
      <c r="Z331" s="623">
        <f t="shared" si="101"/>
        <v>0</v>
      </c>
      <c r="AA331" s="623">
        <v>0</v>
      </c>
      <c r="AB331" s="623">
        <v>0</v>
      </c>
      <c r="AC331" s="624">
        <v>0</v>
      </c>
      <c r="AD331" s="625">
        <f t="shared" si="102"/>
        <v>0</v>
      </c>
      <c r="AE331" s="626">
        <f t="shared" si="103"/>
        <v>0</v>
      </c>
      <c r="AF331" s="627">
        <f t="shared" si="104"/>
        <v>0</v>
      </c>
      <c r="AG331" s="627">
        <f t="shared" si="104"/>
        <v>0</v>
      </c>
      <c r="AH331" s="628"/>
      <c r="AI331" s="627">
        <f>+AH331*AD331</f>
        <v>0</v>
      </c>
    </row>
    <row r="332" spans="1:35" x14ac:dyDescent="0.2">
      <c r="A332" s="619" t="s">
        <v>1486</v>
      </c>
      <c r="B332" s="614">
        <v>2</v>
      </c>
      <c r="C332" s="623">
        <v>3900</v>
      </c>
      <c r="D332" s="647">
        <v>0</v>
      </c>
      <c r="E332" s="647">
        <v>0</v>
      </c>
      <c r="F332" s="647">
        <v>0</v>
      </c>
      <c r="G332" s="647">
        <v>0</v>
      </c>
      <c r="H332" s="647">
        <v>0</v>
      </c>
      <c r="I332" s="647">
        <v>730</v>
      </c>
      <c r="J332" s="647">
        <v>185.96</v>
      </c>
      <c r="K332" s="623">
        <f t="shared" si="105"/>
        <v>4815.96</v>
      </c>
      <c r="L332" s="647">
        <v>1000</v>
      </c>
      <c r="M332" s="647">
        <v>0</v>
      </c>
      <c r="N332" s="624">
        <f t="shared" si="98"/>
        <v>1000</v>
      </c>
      <c r="O332" s="625">
        <f t="shared" si="99"/>
        <v>58791.520000000004</v>
      </c>
      <c r="P332" s="626">
        <f t="shared" si="100"/>
        <v>117583.04000000001</v>
      </c>
      <c r="Q332" s="648">
        <v>2</v>
      </c>
      <c r="R332" s="623">
        <v>3900</v>
      </c>
      <c r="S332" s="623">
        <v>0</v>
      </c>
      <c r="T332" s="623">
        <v>0</v>
      </c>
      <c r="U332" s="623">
        <v>0</v>
      </c>
      <c r="V332" s="623">
        <v>0</v>
      </c>
      <c r="W332" s="623">
        <v>0</v>
      </c>
      <c r="X332" s="623">
        <v>730</v>
      </c>
      <c r="Y332" s="623">
        <v>295.95999999999998</v>
      </c>
      <c r="Z332" s="623">
        <f t="shared" si="101"/>
        <v>4925.96</v>
      </c>
      <c r="AA332" s="623">
        <v>1000</v>
      </c>
      <c r="AB332" s="623">
        <v>0</v>
      </c>
      <c r="AC332" s="624">
        <v>1000</v>
      </c>
      <c r="AD332" s="625">
        <f t="shared" si="102"/>
        <v>60111.520000000004</v>
      </c>
      <c r="AE332" s="626">
        <f t="shared" si="103"/>
        <v>120223.04000000001</v>
      </c>
      <c r="AF332" s="627">
        <f t="shared" si="104"/>
        <v>1320</v>
      </c>
      <c r="AG332" s="627">
        <f t="shared" si="104"/>
        <v>2640</v>
      </c>
      <c r="AH332" s="628">
        <v>2</v>
      </c>
      <c r="AI332" s="627">
        <f>+AH332*AD332</f>
        <v>120223.04000000001</v>
      </c>
    </row>
    <row r="333" spans="1:35" x14ac:dyDescent="0.2">
      <c r="A333" s="619" t="s">
        <v>1487</v>
      </c>
      <c r="B333" s="614">
        <v>20</v>
      </c>
      <c r="C333" s="623">
        <v>3660</v>
      </c>
      <c r="D333" s="647">
        <v>0</v>
      </c>
      <c r="E333" s="647">
        <v>0</v>
      </c>
      <c r="F333" s="647">
        <v>0</v>
      </c>
      <c r="G333" s="647">
        <v>0</v>
      </c>
      <c r="H333" s="647">
        <v>0</v>
      </c>
      <c r="I333" s="647">
        <v>730</v>
      </c>
      <c r="J333" s="647">
        <v>182.49</v>
      </c>
      <c r="K333" s="623">
        <f t="shared" si="105"/>
        <v>4572.49</v>
      </c>
      <c r="L333" s="647">
        <v>1000</v>
      </c>
      <c r="M333" s="647">
        <v>0</v>
      </c>
      <c r="N333" s="624">
        <f t="shared" si="98"/>
        <v>1000</v>
      </c>
      <c r="O333" s="625">
        <f t="shared" si="99"/>
        <v>55869.88</v>
      </c>
      <c r="P333" s="626">
        <f t="shared" si="100"/>
        <v>1117397.5999999999</v>
      </c>
      <c r="Q333" s="648">
        <v>20</v>
      </c>
      <c r="R333" s="623">
        <v>3660</v>
      </c>
      <c r="S333" s="623">
        <v>0</v>
      </c>
      <c r="T333" s="623">
        <v>0</v>
      </c>
      <c r="U333" s="623">
        <v>0</v>
      </c>
      <c r="V333" s="623">
        <v>0</v>
      </c>
      <c r="W333" s="623">
        <v>0</v>
      </c>
      <c r="X333" s="623">
        <v>730</v>
      </c>
      <c r="Y333" s="623">
        <v>285.49</v>
      </c>
      <c r="Z333" s="623">
        <f t="shared" si="101"/>
        <v>4675.49</v>
      </c>
      <c r="AA333" s="623">
        <v>1000</v>
      </c>
      <c r="AB333" s="623">
        <v>0</v>
      </c>
      <c r="AC333" s="624">
        <v>1000</v>
      </c>
      <c r="AD333" s="625">
        <f t="shared" si="102"/>
        <v>57105.88</v>
      </c>
      <c r="AE333" s="626">
        <f t="shared" si="103"/>
        <v>1142117.5999999999</v>
      </c>
      <c r="AF333" s="627">
        <f t="shared" si="104"/>
        <v>1236</v>
      </c>
      <c r="AG333" s="627">
        <f t="shared" si="104"/>
        <v>24720</v>
      </c>
      <c r="AH333" s="628">
        <v>20</v>
      </c>
      <c r="AI333" s="627">
        <f>+AH333*AD333</f>
        <v>1142117.5999999999</v>
      </c>
    </row>
    <row r="334" spans="1:35" x14ac:dyDescent="0.2">
      <c r="A334" s="619" t="s">
        <v>1488</v>
      </c>
      <c r="B334" s="614">
        <v>78</v>
      </c>
      <c r="C334" s="638">
        <v>3344</v>
      </c>
      <c r="D334" s="647">
        <v>0</v>
      </c>
      <c r="E334" s="647">
        <v>0</v>
      </c>
      <c r="F334" s="647">
        <v>0</v>
      </c>
      <c r="G334" s="647">
        <v>0</v>
      </c>
      <c r="H334" s="647">
        <v>0</v>
      </c>
      <c r="I334" s="647">
        <v>730</v>
      </c>
      <c r="J334" s="647">
        <v>181.6</v>
      </c>
      <c r="K334" s="623">
        <f t="shared" si="105"/>
        <v>4255.6000000000004</v>
      </c>
      <c r="L334" s="647">
        <v>1000</v>
      </c>
      <c r="M334" s="647">
        <v>0</v>
      </c>
      <c r="N334" s="624">
        <f t="shared" si="98"/>
        <v>1000</v>
      </c>
      <c r="O334" s="625">
        <f t="shared" si="99"/>
        <v>52067.200000000004</v>
      </c>
      <c r="P334" s="626">
        <f t="shared" si="100"/>
        <v>4061241.6000000006</v>
      </c>
      <c r="Q334" s="648">
        <v>78</v>
      </c>
      <c r="R334" s="623">
        <v>3344</v>
      </c>
      <c r="S334" s="623">
        <v>0</v>
      </c>
      <c r="T334" s="623">
        <v>0</v>
      </c>
      <c r="U334" s="623">
        <v>0</v>
      </c>
      <c r="V334" s="623">
        <v>0</v>
      </c>
      <c r="W334" s="623">
        <v>0</v>
      </c>
      <c r="X334" s="623">
        <v>730</v>
      </c>
      <c r="Y334" s="623">
        <v>276</v>
      </c>
      <c r="Z334" s="623">
        <f t="shared" si="101"/>
        <v>4350</v>
      </c>
      <c r="AA334" s="623">
        <v>1000</v>
      </c>
      <c r="AB334" s="623">
        <v>0</v>
      </c>
      <c r="AC334" s="624">
        <v>1000</v>
      </c>
      <c r="AD334" s="625">
        <f t="shared" si="102"/>
        <v>53200</v>
      </c>
      <c r="AE334" s="626">
        <f t="shared" si="103"/>
        <v>4149600</v>
      </c>
      <c r="AF334" s="627">
        <f t="shared" si="104"/>
        <v>1132.7999999999956</v>
      </c>
      <c r="AG334" s="627">
        <f t="shared" si="104"/>
        <v>88358.399999999441</v>
      </c>
      <c r="AH334" s="628">
        <v>82</v>
      </c>
      <c r="AI334" s="627">
        <f>+AH334*AD334</f>
        <v>4362400</v>
      </c>
    </row>
    <row r="335" spans="1:35" x14ac:dyDescent="0.2">
      <c r="A335" s="620" t="s">
        <v>1489</v>
      </c>
      <c r="B335" s="615">
        <f>SUM(B336:B340)</f>
        <v>70</v>
      </c>
      <c r="C335" s="633">
        <f>SUM(C336:C340)</f>
        <v>19533</v>
      </c>
      <c r="D335" s="649">
        <v>0</v>
      </c>
      <c r="E335" s="649">
        <v>0</v>
      </c>
      <c r="F335" s="649">
        <v>0</v>
      </c>
      <c r="G335" s="649">
        <v>0</v>
      </c>
      <c r="H335" s="649">
        <v>0</v>
      </c>
      <c r="I335" s="633"/>
      <c r="J335" s="633"/>
      <c r="K335" s="633"/>
      <c r="L335" s="633"/>
      <c r="M335" s="649">
        <v>0</v>
      </c>
      <c r="N335" s="651"/>
      <c r="O335" s="652"/>
      <c r="P335" s="653"/>
      <c r="Q335" s="656">
        <v>70</v>
      </c>
      <c r="R335" s="633">
        <v>19533</v>
      </c>
      <c r="S335" s="633">
        <v>0</v>
      </c>
      <c r="T335" s="633">
        <v>0</v>
      </c>
      <c r="U335" s="633">
        <v>0</v>
      </c>
      <c r="V335" s="633">
        <v>0</v>
      </c>
      <c r="W335" s="633">
        <v>0</v>
      </c>
      <c r="X335" s="633"/>
      <c r="Y335" s="633"/>
      <c r="Z335" s="633"/>
      <c r="AA335" s="633"/>
      <c r="AB335" s="633"/>
      <c r="AC335" s="634"/>
      <c r="AD335" s="634"/>
      <c r="AE335" s="634"/>
      <c r="AF335" s="631"/>
      <c r="AG335" s="631"/>
      <c r="AH335" s="632"/>
      <c r="AI335" s="631"/>
    </row>
    <row r="336" spans="1:35" x14ac:dyDescent="0.2">
      <c r="A336" s="619" t="s">
        <v>1484</v>
      </c>
      <c r="B336" s="614">
        <v>17</v>
      </c>
      <c r="C336" s="623">
        <v>4471</v>
      </c>
      <c r="D336" s="647">
        <v>0</v>
      </c>
      <c r="E336" s="647">
        <v>0</v>
      </c>
      <c r="F336" s="647">
        <v>0</v>
      </c>
      <c r="G336" s="647">
        <v>0</v>
      </c>
      <c r="H336" s="647">
        <v>0</v>
      </c>
      <c r="I336" s="647">
        <v>730</v>
      </c>
      <c r="J336" s="647">
        <v>0</v>
      </c>
      <c r="K336" s="623">
        <f>SUM(C336:J336)</f>
        <v>5201</v>
      </c>
      <c r="L336" s="647">
        <v>1000</v>
      </c>
      <c r="M336" s="647">
        <v>0</v>
      </c>
      <c r="N336" s="624">
        <f t="shared" ref="N336:N340" si="106">SUM(L336:M336)</f>
        <v>1000</v>
      </c>
      <c r="O336" s="625">
        <f t="shared" ref="O336:O340" si="107">(K336*12)+N336</f>
        <v>63412</v>
      </c>
      <c r="P336" s="626">
        <f t="shared" ref="P336:P340" si="108">B336*O336</f>
        <v>1078004</v>
      </c>
      <c r="Q336" s="648">
        <v>17</v>
      </c>
      <c r="R336" s="623">
        <v>4471</v>
      </c>
      <c r="S336" s="623">
        <v>0</v>
      </c>
      <c r="T336" s="623">
        <v>0</v>
      </c>
      <c r="U336" s="623">
        <v>0</v>
      </c>
      <c r="V336" s="623">
        <v>0</v>
      </c>
      <c r="W336" s="623">
        <v>0</v>
      </c>
      <c r="X336" s="623">
        <v>730</v>
      </c>
      <c r="Y336" s="623">
        <v>0</v>
      </c>
      <c r="Z336" s="623">
        <f t="shared" ref="Z336:Z340" si="109">SUM(R336:Y336)</f>
        <v>5201</v>
      </c>
      <c r="AA336" s="623">
        <v>1000</v>
      </c>
      <c r="AB336" s="623">
        <v>0</v>
      </c>
      <c r="AC336" s="624">
        <v>1000</v>
      </c>
      <c r="AD336" s="625">
        <f t="shared" ref="AD336:AD340" si="110">(Z336*12)+AC336</f>
        <v>63412</v>
      </c>
      <c r="AE336" s="626">
        <f t="shared" ref="AE336:AE340" si="111">Q336*AD336</f>
        <v>1078004</v>
      </c>
      <c r="AF336" s="627">
        <f t="shared" ref="AF336:AG340" si="112">+AD336-O336</f>
        <v>0</v>
      </c>
      <c r="AG336" s="627">
        <f t="shared" si="112"/>
        <v>0</v>
      </c>
      <c r="AH336" s="628">
        <v>17</v>
      </c>
      <c r="AI336" s="627">
        <f>+AH336*AD336</f>
        <v>1078004</v>
      </c>
    </row>
    <row r="337" spans="1:35" x14ac:dyDescent="0.2">
      <c r="A337" s="619" t="s">
        <v>1485</v>
      </c>
      <c r="B337" s="614">
        <v>1</v>
      </c>
      <c r="C337" s="623">
        <v>4158</v>
      </c>
      <c r="D337" s="647">
        <v>0</v>
      </c>
      <c r="E337" s="647">
        <v>0</v>
      </c>
      <c r="F337" s="647">
        <v>0</v>
      </c>
      <c r="G337" s="647">
        <v>0</v>
      </c>
      <c r="H337" s="647">
        <v>0</v>
      </c>
      <c r="I337" s="647">
        <v>730</v>
      </c>
      <c r="J337" s="647">
        <v>0</v>
      </c>
      <c r="K337" s="623">
        <f t="shared" ref="K337:K340" si="113">SUM(C337:J337)</f>
        <v>4888</v>
      </c>
      <c r="L337" s="647">
        <v>1000</v>
      </c>
      <c r="M337" s="647">
        <v>0</v>
      </c>
      <c r="N337" s="624">
        <f t="shared" si="106"/>
        <v>1000</v>
      </c>
      <c r="O337" s="625">
        <f t="shared" si="107"/>
        <v>59656</v>
      </c>
      <c r="P337" s="626">
        <f t="shared" si="108"/>
        <v>59656</v>
      </c>
      <c r="Q337" s="648">
        <v>1</v>
      </c>
      <c r="R337" s="623">
        <v>4158</v>
      </c>
      <c r="S337" s="623">
        <v>0</v>
      </c>
      <c r="T337" s="623">
        <v>0</v>
      </c>
      <c r="U337" s="623">
        <v>0</v>
      </c>
      <c r="V337" s="623">
        <v>0</v>
      </c>
      <c r="W337" s="623">
        <v>0</v>
      </c>
      <c r="X337" s="623">
        <v>730</v>
      </c>
      <c r="Y337" s="623">
        <v>0</v>
      </c>
      <c r="Z337" s="623">
        <f t="shared" si="109"/>
        <v>4888</v>
      </c>
      <c r="AA337" s="623">
        <v>1000</v>
      </c>
      <c r="AB337" s="623">
        <v>0</v>
      </c>
      <c r="AC337" s="624">
        <v>1000</v>
      </c>
      <c r="AD337" s="625">
        <f t="shared" si="110"/>
        <v>59656</v>
      </c>
      <c r="AE337" s="626">
        <f t="shared" si="111"/>
        <v>59656</v>
      </c>
      <c r="AF337" s="627">
        <f t="shared" si="112"/>
        <v>0</v>
      </c>
      <c r="AG337" s="627">
        <f t="shared" si="112"/>
        <v>0</v>
      </c>
      <c r="AH337" s="628">
        <v>1</v>
      </c>
      <c r="AI337" s="627">
        <f>+AH337*AD337</f>
        <v>59656</v>
      </c>
    </row>
    <row r="338" spans="1:35" x14ac:dyDescent="0.2">
      <c r="A338" s="619" t="s">
        <v>1486</v>
      </c>
      <c r="B338" s="614">
        <v>2</v>
      </c>
      <c r="C338" s="623">
        <v>3900</v>
      </c>
      <c r="D338" s="647">
        <v>0</v>
      </c>
      <c r="E338" s="647">
        <v>0</v>
      </c>
      <c r="F338" s="647">
        <v>0</v>
      </c>
      <c r="G338" s="647">
        <v>0</v>
      </c>
      <c r="H338" s="647">
        <v>0</v>
      </c>
      <c r="I338" s="647">
        <v>730</v>
      </c>
      <c r="J338" s="647">
        <v>0</v>
      </c>
      <c r="K338" s="623">
        <f t="shared" si="113"/>
        <v>4630</v>
      </c>
      <c r="L338" s="647">
        <v>1000</v>
      </c>
      <c r="M338" s="647">
        <v>0</v>
      </c>
      <c r="N338" s="624">
        <f t="shared" si="106"/>
        <v>1000</v>
      </c>
      <c r="O338" s="625">
        <f t="shared" si="107"/>
        <v>56560</v>
      </c>
      <c r="P338" s="626">
        <f t="shared" si="108"/>
        <v>113120</v>
      </c>
      <c r="Q338" s="648">
        <v>2</v>
      </c>
      <c r="R338" s="623">
        <v>3900</v>
      </c>
      <c r="S338" s="623">
        <v>0</v>
      </c>
      <c r="T338" s="623">
        <v>0</v>
      </c>
      <c r="U338" s="623">
        <v>0</v>
      </c>
      <c r="V338" s="623">
        <v>0</v>
      </c>
      <c r="W338" s="623">
        <v>0</v>
      </c>
      <c r="X338" s="623">
        <v>730</v>
      </c>
      <c r="Y338" s="623">
        <v>0</v>
      </c>
      <c r="Z338" s="623">
        <f t="shared" si="109"/>
        <v>4630</v>
      </c>
      <c r="AA338" s="623">
        <v>1000</v>
      </c>
      <c r="AB338" s="623">
        <v>0</v>
      </c>
      <c r="AC338" s="624">
        <v>1000</v>
      </c>
      <c r="AD338" s="625">
        <f t="shared" si="110"/>
        <v>56560</v>
      </c>
      <c r="AE338" s="626">
        <f t="shared" si="111"/>
        <v>113120</v>
      </c>
      <c r="AF338" s="627">
        <f t="shared" si="112"/>
        <v>0</v>
      </c>
      <c r="AG338" s="627">
        <f t="shared" si="112"/>
        <v>0</v>
      </c>
      <c r="AH338" s="628">
        <v>2</v>
      </c>
      <c r="AI338" s="627">
        <f>+AH338*AD338</f>
        <v>113120</v>
      </c>
    </row>
    <row r="339" spans="1:35" x14ac:dyDescent="0.2">
      <c r="A339" s="619" t="s">
        <v>1487</v>
      </c>
      <c r="B339" s="614">
        <v>2</v>
      </c>
      <c r="C339" s="623">
        <v>3660</v>
      </c>
      <c r="D339" s="647">
        <v>0</v>
      </c>
      <c r="E339" s="647">
        <v>0</v>
      </c>
      <c r="F339" s="647">
        <v>0</v>
      </c>
      <c r="G339" s="647">
        <v>0</v>
      </c>
      <c r="H339" s="647">
        <v>0</v>
      </c>
      <c r="I339" s="647">
        <v>730</v>
      </c>
      <c r="J339" s="647">
        <v>0</v>
      </c>
      <c r="K339" s="623">
        <f t="shared" si="113"/>
        <v>4390</v>
      </c>
      <c r="L339" s="647">
        <v>1000</v>
      </c>
      <c r="M339" s="647">
        <v>0</v>
      </c>
      <c r="N339" s="624">
        <f t="shared" si="106"/>
        <v>1000</v>
      </c>
      <c r="O339" s="625">
        <f t="shared" si="107"/>
        <v>53680</v>
      </c>
      <c r="P339" s="626">
        <f t="shared" si="108"/>
        <v>107360</v>
      </c>
      <c r="Q339" s="648">
        <v>2</v>
      </c>
      <c r="R339" s="623">
        <v>3660</v>
      </c>
      <c r="S339" s="623">
        <v>0</v>
      </c>
      <c r="T339" s="623">
        <v>0</v>
      </c>
      <c r="U339" s="623">
        <v>0</v>
      </c>
      <c r="V339" s="623">
        <v>0</v>
      </c>
      <c r="W339" s="623">
        <v>0</v>
      </c>
      <c r="X339" s="623">
        <v>730</v>
      </c>
      <c r="Y339" s="623">
        <v>0</v>
      </c>
      <c r="Z339" s="623">
        <f t="shared" si="109"/>
        <v>4390</v>
      </c>
      <c r="AA339" s="623">
        <v>1000</v>
      </c>
      <c r="AB339" s="623">
        <v>0</v>
      </c>
      <c r="AC339" s="624">
        <v>1000</v>
      </c>
      <c r="AD339" s="625">
        <f t="shared" si="110"/>
        <v>53680</v>
      </c>
      <c r="AE339" s="626">
        <f t="shared" si="111"/>
        <v>107360</v>
      </c>
      <c r="AF339" s="627">
        <f t="shared" si="112"/>
        <v>0</v>
      </c>
      <c r="AG339" s="627">
        <f t="shared" si="112"/>
        <v>0</v>
      </c>
      <c r="AH339" s="628">
        <v>2</v>
      </c>
      <c r="AI339" s="627">
        <f>+AH339*AD339</f>
        <v>107360</v>
      </c>
    </row>
    <row r="340" spans="1:35" x14ac:dyDescent="0.2">
      <c r="A340" s="619" t="s">
        <v>1488</v>
      </c>
      <c r="B340" s="614">
        <v>48</v>
      </c>
      <c r="C340" s="638">
        <v>3344</v>
      </c>
      <c r="D340" s="647">
        <v>0</v>
      </c>
      <c r="E340" s="647">
        <v>0</v>
      </c>
      <c r="F340" s="647">
        <v>0</v>
      </c>
      <c r="G340" s="647">
        <v>0</v>
      </c>
      <c r="H340" s="647">
        <v>0</v>
      </c>
      <c r="I340" s="647">
        <v>730</v>
      </c>
      <c r="J340" s="647">
        <v>0</v>
      </c>
      <c r="K340" s="623">
        <f t="shared" si="113"/>
        <v>4074</v>
      </c>
      <c r="L340" s="647">
        <v>1000</v>
      </c>
      <c r="M340" s="647">
        <v>0</v>
      </c>
      <c r="N340" s="624">
        <f t="shared" si="106"/>
        <v>1000</v>
      </c>
      <c r="O340" s="625">
        <f t="shared" si="107"/>
        <v>49888</v>
      </c>
      <c r="P340" s="626">
        <f t="shared" si="108"/>
        <v>2394624</v>
      </c>
      <c r="Q340" s="648">
        <v>48</v>
      </c>
      <c r="R340" s="623">
        <v>3344</v>
      </c>
      <c r="S340" s="623">
        <v>0</v>
      </c>
      <c r="T340" s="623">
        <v>0</v>
      </c>
      <c r="U340" s="623">
        <v>0</v>
      </c>
      <c r="V340" s="623">
        <v>0</v>
      </c>
      <c r="W340" s="623">
        <v>0</v>
      </c>
      <c r="X340" s="623">
        <v>730</v>
      </c>
      <c r="Y340" s="623">
        <v>0</v>
      </c>
      <c r="Z340" s="623">
        <f t="shared" si="109"/>
        <v>4074</v>
      </c>
      <c r="AA340" s="623">
        <v>1000</v>
      </c>
      <c r="AB340" s="623">
        <v>0</v>
      </c>
      <c r="AC340" s="624">
        <v>1000</v>
      </c>
      <c r="AD340" s="625">
        <f t="shared" si="110"/>
        <v>49888</v>
      </c>
      <c r="AE340" s="626">
        <f t="shared" si="111"/>
        <v>2394624</v>
      </c>
      <c r="AF340" s="627">
        <f t="shared" si="112"/>
        <v>0</v>
      </c>
      <c r="AG340" s="627">
        <f t="shared" si="112"/>
        <v>0</v>
      </c>
      <c r="AH340" s="628">
        <v>48</v>
      </c>
      <c r="AI340" s="627">
        <f>+AH340*AD340</f>
        <v>2394624</v>
      </c>
    </row>
    <row r="341" spans="1:35" x14ac:dyDescent="0.2">
      <c r="A341" s="620" t="s">
        <v>1490</v>
      </c>
      <c r="B341" s="615">
        <f>SUM(B342:B346)</f>
        <v>19</v>
      </c>
      <c r="C341" s="633">
        <f>SUM(C342:C346)</f>
        <v>7004</v>
      </c>
      <c r="D341" s="649">
        <v>0</v>
      </c>
      <c r="E341" s="649">
        <v>0</v>
      </c>
      <c r="F341" s="649">
        <v>0</v>
      </c>
      <c r="G341" s="649">
        <v>0</v>
      </c>
      <c r="H341" s="649">
        <v>0</v>
      </c>
      <c r="I341" s="649"/>
      <c r="J341" s="649"/>
      <c r="K341" s="649"/>
      <c r="L341" s="649"/>
      <c r="M341" s="649">
        <v>0</v>
      </c>
      <c r="N341" s="651"/>
      <c r="O341" s="652"/>
      <c r="P341" s="653"/>
      <c r="Q341" s="654">
        <v>19</v>
      </c>
      <c r="R341" s="629">
        <v>7004</v>
      </c>
      <c r="S341" s="629">
        <v>0</v>
      </c>
      <c r="T341" s="629">
        <v>0</v>
      </c>
      <c r="U341" s="629">
        <v>0</v>
      </c>
      <c r="V341" s="629">
        <v>0</v>
      </c>
      <c r="W341" s="629">
        <v>0</v>
      </c>
      <c r="X341" s="629"/>
      <c r="Y341" s="629"/>
      <c r="Z341" s="629"/>
      <c r="AA341" s="629"/>
      <c r="AB341" s="629"/>
      <c r="AC341" s="630"/>
      <c r="AD341" s="630"/>
      <c r="AE341" s="630"/>
      <c r="AF341" s="631"/>
      <c r="AG341" s="631"/>
      <c r="AH341" s="632"/>
      <c r="AI341" s="631"/>
    </row>
    <row r="342" spans="1:35" x14ac:dyDescent="0.2">
      <c r="A342" s="619" t="s">
        <v>1484</v>
      </c>
      <c r="B342" s="614"/>
      <c r="C342" s="623"/>
      <c r="D342" s="647">
        <v>0</v>
      </c>
      <c r="E342" s="647">
        <v>0</v>
      </c>
      <c r="F342" s="647">
        <v>0</v>
      </c>
      <c r="G342" s="647">
        <v>0</v>
      </c>
      <c r="H342" s="647">
        <v>0</v>
      </c>
      <c r="I342" s="647">
        <v>0</v>
      </c>
      <c r="J342" s="647">
        <v>0</v>
      </c>
      <c r="K342" s="623">
        <f>SUM(C342:J342)</f>
        <v>0</v>
      </c>
      <c r="L342" s="647">
        <v>0</v>
      </c>
      <c r="M342" s="647">
        <v>0</v>
      </c>
      <c r="N342" s="624">
        <f t="shared" ref="N342:N346" si="114">SUM(L342:M342)</f>
        <v>0</v>
      </c>
      <c r="O342" s="625">
        <f t="shared" ref="O342:O346" si="115">(K342*12)+N342</f>
        <v>0</v>
      </c>
      <c r="P342" s="626">
        <f t="shared" ref="P342:P346" si="116">B342*O342</f>
        <v>0</v>
      </c>
      <c r="Q342" s="648"/>
      <c r="R342" s="623"/>
      <c r="S342" s="623">
        <v>0</v>
      </c>
      <c r="T342" s="623">
        <v>0</v>
      </c>
      <c r="U342" s="623">
        <v>0</v>
      </c>
      <c r="V342" s="623">
        <v>0</v>
      </c>
      <c r="W342" s="623">
        <v>0</v>
      </c>
      <c r="X342" s="623">
        <v>0</v>
      </c>
      <c r="Y342" s="623">
        <v>0</v>
      </c>
      <c r="Z342" s="623">
        <f t="shared" ref="Z342:Z346" si="117">SUM(R342:Y342)</f>
        <v>0</v>
      </c>
      <c r="AA342" s="623">
        <v>0</v>
      </c>
      <c r="AB342" s="623">
        <v>0</v>
      </c>
      <c r="AC342" s="624">
        <v>0</v>
      </c>
      <c r="AD342" s="625">
        <f t="shared" ref="AD342:AD346" si="118">(Z342*12)+AC342</f>
        <v>0</v>
      </c>
      <c r="AE342" s="626">
        <f t="shared" ref="AE342:AE346" si="119">Q342*AD342</f>
        <v>0</v>
      </c>
      <c r="AF342" s="627">
        <f t="shared" ref="AF342:AG346" si="120">+AD342-O342</f>
        <v>0</v>
      </c>
      <c r="AG342" s="627">
        <f t="shared" si="120"/>
        <v>0</v>
      </c>
      <c r="AH342" s="628"/>
      <c r="AI342" s="627">
        <f>+AH342*AD342</f>
        <v>0</v>
      </c>
    </row>
    <row r="343" spans="1:35" x14ac:dyDescent="0.2">
      <c r="A343" s="619" t="s">
        <v>1485</v>
      </c>
      <c r="B343" s="614"/>
      <c r="C343" s="623"/>
      <c r="D343" s="647">
        <v>0</v>
      </c>
      <c r="E343" s="647">
        <v>0</v>
      </c>
      <c r="F343" s="647">
        <v>0</v>
      </c>
      <c r="G343" s="647">
        <v>0</v>
      </c>
      <c r="H343" s="647">
        <v>0</v>
      </c>
      <c r="I343" s="647">
        <v>0</v>
      </c>
      <c r="J343" s="647">
        <v>0</v>
      </c>
      <c r="K343" s="623">
        <f t="shared" ref="K343:K346" si="121">SUM(C343:J343)</f>
        <v>0</v>
      </c>
      <c r="L343" s="647">
        <v>0</v>
      </c>
      <c r="M343" s="647">
        <v>0</v>
      </c>
      <c r="N343" s="624">
        <f t="shared" si="114"/>
        <v>0</v>
      </c>
      <c r="O343" s="625">
        <f t="shared" si="115"/>
        <v>0</v>
      </c>
      <c r="P343" s="626">
        <f t="shared" si="116"/>
        <v>0</v>
      </c>
      <c r="Q343" s="648"/>
      <c r="R343" s="623"/>
      <c r="S343" s="623">
        <v>0</v>
      </c>
      <c r="T343" s="623">
        <v>0</v>
      </c>
      <c r="U343" s="623">
        <v>0</v>
      </c>
      <c r="V343" s="623">
        <v>0</v>
      </c>
      <c r="W343" s="623">
        <v>0</v>
      </c>
      <c r="X343" s="623">
        <v>0</v>
      </c>
      <c r="Y343" s="623">
        <v>0</v>
      </c>
      <c r="Z343" s="623">
        <f t="shared" si="117"/>
        <v>0</v>
      </c>
      <c r="AA343" s="623">
        <v>0</v>
      </c>
      <c r="AB343" s="623">
        <v>0</v>
      </c>
      <c r="AC343" s="624">
        <v>0</v>
      </c>
      <c r="AD343" s="625">
        <f t="shared" si="118"/>
        <v>0</v>
      </c>
      <c r="AE343" s="626">
        <f t="shared" si="119"/>
        <v>0</v>
      </c>
      <c r="AF343" s="627">
        <f t="shared" si="120"/>
        <v>0</v>
      </c>
      <c r="AG343" s="627">
        <f t="shared" si="120"/>
        <v>0</v>
      </c>
      <c r="AH343" s="628"/>
      <c r="AI343" s="627">
        <f>+AH343*AD343</f>
        <v>0</v>
      </c>
    </row>
    <row r="344" spans="1:35" x14ac:dyDescent="0.2">
      <c r="A344" s="619" t="s">
        <v>1486</v>
      </c>
      <c r="B344" s="614"/>
      <c r="C344" s="643"/>
      <c r="D344" s="647">
        <v>0</v>
      </c>
      <c r="E344" s="647">
        <v>0</v>
      </c>
      <c r="F344" s="647">
        <v>0</v>
      </c>
      <c r="G344" s="647">
        <v>0</v>
      </c>
      <c r="H344" s="647">
        <v>0</v>
      </c>
      <c r="I344" s="647">
        <v>0</v>
      </c>
      <c r="J344" s="647">
        <v>0</v>
      </c>
      <c r="K344" s="623">
        <f t="shared" si="121"/>
        <v>0</v>
      </c>
      <c r="L344" s="647">
        <v>0</v>
      </c>
      <c r="M344" s="647">
        <v>0</v>
      </c>
      <c r="N344" s="624">
        <f t="shared" si="114"/>
        <v>0</v>
      </c>
      <c r="O344" s="625">
        <f t="shared" si="115"/>
        <v>0</v>
      </c>
      <c r="P344" s="626">
        <f t="shared" si="116"/>
        <v>0</v>
      </c>
      <c r="Q344" s="648"/>
      <c r="R344" s="623"/>
      <c r="S344" s="623">
        <v>0</v>
      </c>
      <c r="T344" s="623">
        <v>0</v>
      </c>
      <c r="U344" s="623">
        <v>0</v>
      </c>
      <c r="V344" s="623">
        <v>0</v>
      </c>
      <c r="W344" s="623">
        <v>0</v>
      </c>
      <c r="X344" s="623">
        <v>0</v>
      </c>
      <c r="Y344" s="623">
        <v>0</v>
      </c>
      <c r="Z344" s="623">
        <f t="shared" si="117"/>
        <v>0</v>
      </c>
      <c r="AA344" s="623">
        <v>0</v>
      </c>
      <c r="AB344" s="623">
        <v>0</v>
      </c>
      <c r="AC344" s="624">
        <v>0</v>
      </c>
      <c r="AD344" s="625">
        <f t="shared" si="118"/>
        <v>0</v>
      </c>
      <c r="AE344" s="626">
        <f t="shared" si="119"/>
        <v>0</v>
      </c>
      <c r="AF344" s="627">
        <f t="shared" si="120"/>
        <v>0</v>
      </c>
      <c r="AG344" s="627">
        <f t="shared" si="120"/>
        <v>0</v>
      </c>
      <c r="AH344" s="628"/>
      <c r="AI344" s="627">
        <f>+AH344*AD344</f>
        <v>0</v>
      </c>
    </row>
    <row r="345" spans="1:35" x14ac:dyDescent="0.2">
      <c r="A345" s="619" t="s">
        <v>1487</v>
      </c>
      <c r="B345" s="614">
        <v>1</v>
      </c>
      <c r="C345" s="623">
        <v>3660</v>
      </c>
      <c r="D345" s="647">
        <v>0</v>
      </c>
      <c r="E345" s="647">
        <v>0</v>
      </c>
      <c r="F345" s="647">
        <v>0</v>
      </c>
      <c r="G345" s="647">
        <v>0</v>
      </c>
      <c r="H345" s="647">
        <v>0</v>
      </c>
      <c r="I345" s="647">
        <v>730</v>
      </c>
      <c r="J345" s="647">
        <v>0</v>
      </c>
      <c r="K345" s="623">
        <f t="shared" si="121"/>
        <v>4390</v>
      </c>
      <c r="L345" s="647">
        <v>1000</v>
      </c>
      <c r="M345" s="647">
        <v>0</v>
      </c>
      <c r="N345" s="624">
        <f t="shared" si="114"/>
        <v>1000</v>
      </c>
      <c r="O345" s="625">
        <f t="shared" si="115"/>
        <v>53680</v>
      </c>
      <c r="P345" s="626">
        <f t="shared" si="116"/>
        <v>53680</v>
      </c>
      <c r="Q345" s="648">
        <v>1</v>
      </c>
      <c r="R345" s="623">
        <v>3660</v>
      </c>
      <c r="S345" s="623">
        <v>0</v>
      </c>
      <c r="T345" s="623">
        <v>0</v>
      </c>
      <c r="U345" s="623">
        <v>0</v>
      </c>
      <c r="V345" s="623">
        <v>0</v>
      </c>
      <c r="W345" s="623">
        <v>0</v>
      </c>
      <c r="X345" s="623">
        <v>730</v>
      </c>
      <c r="Y345" s="623">
        <v>0</v>
      </c>
      <c r="Z345" s="623">
        <f t="shared" si="117"/>
        <v>4390</v>
      </c>
      <c r="AA345" s="623">
        <v>1000</v>
      </c>
      <c r="AB345" s="623">
        <v>0</v>
      </c>
      <c r="AC345" s="624">
        <v>1000</v>
      </c>
      <c r="AD345" s="625">
        <f t="shared" si="118"/>
        <v>53680</v>
      </c>
      <c r="AE345" s="626">
        <f t="shared" si="119"/>
        <v>53680</v>
      </c>
      <c r="AF345" s="627">
        <f t="shared" si="120"/>
        <v>0</v>
      </c>
      <c r="AG345" s="627">
        <f t="shared" si="120"/>
        <v>0</v>
      </c>
      <c r="AH345" s="628">
        <v>1</v>
      </c>
      <c r="AI345" s="627">
        <f>+AH345*AD345</f>
        <v>53680</v>
      </c>
    </row>
    <row r="346" spans="1:35" x14ac:dyDescent="0.2">
      <c r="A346" s="619" t="s">
        <v>1488</v>
      </c>
      <c r="B346" s="614">
        <v>18</v>
      </c>
      <c r="C346" s="638">
        <v>3344</v>
      </c>
      <c r="D346" s="647">
        <v>0</v>
      </c>
      <c r="E346" s="647">
        <v>0</v>
      </c>
      <c r="F346" s="647">
        <v>0</v>
      </c>
      <c r="G346" s="647">
        <v>0</v>
      </c>
      <c r="H346" s="647">
        <v>0</v>
      </c>
      <c r="I346" s="647">
        <v>730</v>
      </c>
      <c r="J346" s="647">
        <v>160.499</v>
      </c>
      <c r="K346" s="623">
        <f t="shared" si="121"/>
        <v>4234.4989999999998</v>
      </c>
      <c r="L346" s="647">
        <v>1000</v>
      </c>
      <c r="M346" s="647">
        <v>0</v>
      </c>
      <c r="N346" s="624">
        <f t="shared" si="114"/>
        <v>1000</v>
      </c>
      <c r="O346" s="625">
        <f t="shared" si="115"/>
        <v>51813.987999999998</v>
      </c>
      <c r="P346" s="626">
        <f t="shared" si="116"/>
        <v>932651.78399999999</v>
      </c>
      <c r="Q346" s="648">
        <v>18</v>
      </c>
      <c r="R346" s="623">
        <v>3344</v>
      </c>
      <c r="S346" s="623">
        <v>0</v>
      </c>
      <c r="T346" s="623">
        <v>0</v>
      </c>
      <c r="U346" s="623">
        <v>0</v>
      </c>
      <c r="V346" s="623">
        <v>0</v>
      </c>
      <c r="W346" s="623">
        <v>0</v>
      </c>
      <c r="X346" s="623">
        <v>730</v>
      </c>
      <c r="Y346" s="623">
        <v>181.499</v>
      </c>
      <c r="Z346" s="623">
        <f t="shared" si="117"/>
        <v>4255.4989999999998</v>
      </c>
      <c r="AA346" s="623">
        <v>1000</v>
      </c>
      <c r="AB346" s="623">
        <v>0</v>
      </c>
      <c r="AC346" s="624">
        <v>1000</v>
      </c>
      <c r="AD346" s="625">
        <f t="shared" si="118"/>
        <v>52065.987999999998</v>
      </c>
      <c r="AE346" s="626">
        <f t="shared" si="119"/>
        <v>937187.78399999999</v>
      </c>
      <c r="AF346" s="627">
        <f t="shared" si="120"/>
        <v>252</v>
      </c>
      <c r="AG346" s="627">
        <f t="shared" si="120"/>
        <v>4536</v>
      </c>
      <c r="AH346" s="628">
        <v>18</v>
      </c>
      <c r="AI346" s="627">
        <f>+AH346*AD346</f>
        <v>937187.78399999999</v>
      </c>
    </row>
    <row r="347" spans="1:35" x14ac:dyDescent="0.2">
      <c r="A347" s="620" t="s">
        <v>1491</v>
      </c>
      <c r="B347" s="615">
        <f>SUM(B348:B355)</f>
        <v>126</v>
      </c>
      <c r="C347" s="633">
        <f>SUM(C348:C352)</f>
        <v>15375</v>
      </c>
      <c r="D347" s="649">
        <v>0</v>
      </c>
      <c r="E347" s="649">
        <v>0</v>
      </c>
      <c r="F347" s="649">
        <v>0</v>
      </c>
      <c r="G347" s="649">
        <v>0</v>
      </c>
      <c r="H347" s="649">
        <v>0</v>
      </c>
      <c r="I347" s="649"/>
      <c r="J347" s="649"/>
      <c r="K347" s="649"/>
      <c r="L347" s="649"/>
      <c r="M347" s="649">
        <v>0</v>
      </c>
      <c r="N347" s="651"/>
      <c r="O347" s="652"/>
      <c r="P347" s="653"/>
      <c r="Q347" s="654">
        <v>125</v>
      </c>
      <c r="R347" s="629">
        <v>15375</v>
      </c>
      <c r="S347" s="629">
        <v>0</v>
      </c>
      <c r="T347" s="629">
        <v>0</v>
      </c>
      <c r="U347" s="629">
        <v>0</v>
      </c>
      <c r="V347" s="629">
        <v>0</v>
      </c>
      <c r="W347" s="629">
        <v>0</v>
      </c>
      <c r="X347" s="629">
        <v>2920</v>
      </c>
      <c r="Y347" s="629"/>
      <c r="Z347" s="629"/>
      <c r="AA347" s="629"/>
      <c r="AB347" s="629"/>
      <c r="AC347" s="640"/>
      <c r="AD347" s="640"/>
      <c r="AE347" s="641"/>
      <c r="AF347" s="631"/>
      <c r="AG347" s="631"/>
      <c r="AH347" s="642"/>
      <c r="AI347" s="631"/>
    </row>
    <row r="348" spans="1:35" x14ac:dyDescent="0.2">
      <c r="A348" s="619" t="s">
        <v>1492</v>
      </c>
      <c r="B348" s="614">
        <v>22</v>
      </c>
      <c r="C348" s="623">
        <v>4471</v>
      </c>
      <c r="D348" s="647">
        <v>0</v>
      </c>
      <c r="E348" s="647">
        <v>0</v>
      </c>
      <c r="F348" s="647">
        <v>0</v>
      </c>
      <c r="G348" s="647">
        <v>0</v>
      </c>
      <c r="H348" s="647">
        <v>0</v>
      </c>
      <c r="I348" s="647">
        <v>0</v>
      </c>
      <c r="J348" s="647">
        <v>0</v>
      </c>
      <c r="K348" s="623">
        <f>SUM(C348:J348)</f>
        <v>4471</v>
      </c>
      <c r="L348" s="647">
        <v>1000</v>
      </c>
      <c r="M348" s="647">
        <v>0</v>
      </c>
      <c r="N348" s="624">
        <f t="shared" ref="N348:N355" si="122">SUM(L348:M348)</f>
        <v>1000</v>
      </c>
      <c r="O348" s="625">
        <f t="shared" ref="O348:O355" si="123">(K348*12)+N348</f>
        <v>54652</v>
      </c>
      <c r="P348" s="626">
        <f t="shared" ref="P348:P355" si="124">B348*O348</f>
        <v>1202344</v>
      </c>
      <c r="Q348" s="648">
        <v>21</v>
      </c>
      <c r="R348" s="623">
        <v>4471</v>
      </c>
      <c r="S348" s="623">
        <v>0</v>
      </c>
      <c r="T348" s="623">
        <v>0</v>
      </c>
      <c r="U348" s="623">
        <v>0</v>
      </c>
      <c r="V348" s="623">
        <v>0</v>
      </c>
      <c r="W348" s="623">
        <v>0</v>
      </c>
      <c r="X348" s="623">
        <v>0</v>
      </c>
      <c r="Y348" s="623">
        <v>0</v>
      </c>
      <c r="Z348" s="623">
        <f t="shared" ref="Z348:Z355" si="125">SUM(R348:Y348)</f>
        <v>4471</v>
      </c>
      <c r="AA348" s="623">
        <v>1000</v>
      </c>
      <c r="AB348" s="623">
        <v>0</v>
      </c>
      <c r="AC348" s="624">
        <v>1000</v>
      </c>
      <c r="AD348" s="625">
        <f t="shared" ref="AD348:AD355" si="126">(Z348*12)+AC348</f>
        <v>54652</v>
      </c>
      <c r="AE348" s="626">
        <f t="shared" ref="AE348:AE355" si="127">Q348*AD348</f>
        <v>1147692</v>
      </c>
      <c r="AF348" s="627">
        <f t="shared" ref="AF348:AG355" si="128">+AD348-O348</f>
        <v>0</v>
      </c>
      <c r="AG348" s="627">
        <f t="shared" si="128"/>
        <v>-54652</v>
      </c>
      <c r="AH348" s="628">
        <v>21</v>
      </c>
      <c r="AI348" s="627">
        <f t="shared" ref="AI348:AI355" si="129">+AH348*AD348</f>
        <v>1147692</v>
      </c>
    </row>
    <row r="349" spans="1:35" x14ac:dyDescent="0.2">
      <c r="A349" s="619" t="s">
        <v>1493</v>
      </c>
      <c r="B349" s="614">
        <v>0</v>
      </c>
      <c r="C349" s="643"/>
      <c r="D349" s="647">
        <v>0</v>
      </c>
      <c r="E349" s="647">
        <v>0</v>
      </c>
      <c r="F349" s="647">
        <v>0</v>
      </c>
      <c r="G349" s="647">
        <v>0</v>
      </c>
      <c r="H349" s="647">
        <v>0</v>
      </c>
      <c r="I349" s="647">
        <v>0</v>
      </c>
      <c r="J349" s="647">
        <v>0</v>
      </c>
      <c r="K349" s="623">
        <f t="shared" ref="K349:K355" si="130">SUM(C349:J349)</f>
        <v>0</v>
      </c>
      <c r="L349" s="647">
        <v>0</v>
      </c>
      <c r="M349" s="647">
        <v>0</v>
      </c>
      <c r="N349" s="624">
        <f t="shared" si="122"/>
        <v>0</v>
      </c>
      <c r="O349" s="625">
        <f t="shared" si="123"/>
        <v>0</v>
      </c>
      <c r="P349" s="626">
        <f t="shared" si="124"/>
        <v>0</v>
      </c>
      <c r="Q349" s="648">
        <v>0</v>
      </c>
      <c r="R349" s="623"/>
      <c r="S349" s="623">
        <v>0</v>
      </c>
      <c r="T349" s="623">
        <v>0</v>
      </c>
      <c r="U349" s="623">
        <v>0</v>
      </c>
      <c r="V349" s="623">
        <v>0</v>
      </c>
      <c r="W349" s="623">
        <v>0</v>
      </c>
      <c r="X349" s="623">
        <v>0</v>
      </c>
      <c r="Y349" s="623">
        <v>0</v>
      </c>
      <c r="Z349" s="623">
        <f t="shared" si="125"/>
        <v>0</v>
      </c>
      <c r="AA349" s="623">
        <v>0</v>
      </c>
      <c r="AB349" s="623">
        <v>0</v>
      </c>
      <c r="AC349" s="624">
        <v>0</v>
      </c>
      <c r="AD349" s="625">
        <f t="shared" si="126"/>
        <v>0</v>
      </c>
      <c r="AE349" s="626">
        <f t="shared" si="127"/>
        <v>0</v>
      </c>
      <c r="AF349" s="627">
        <f t="shared" si="128"/>
        <v>0</v>
      </c>
      <c r="AG349" s="627">
        <f t="shared" si="128"/>
        <v>0</v>
      </c>
      <c r="AH349" s="628">
        <v>0</v>
      </c>
      <c r="AI349" s="627">
        <f t="shared" si="129"/>
        <v>0</v>
      </c>
    </row>
    <row r="350" spans="1:35" x14ac:dyDescent="0.2">
      <c r="A350" s="619" t="s">
        <v>1494</v>
      </c>
      <c r="B350" s="614">
        <v>3</v>
      </c>
      <c r="C350" s="623">
        <v>3900</v>
      </c>
      <c r="D350" s="647">
        <v>0</v>
      </c>
      <c r="E350" s="647">
        <v>0</v>
      </c>
      <c r="F350" s="647">
        <v>0</v>
      </c>
      <c r="G350" s="647">
        <v>0</v>
      </c>
      <c r="H350" s="647">
        <v>0</v>
      </c>
      <c r="I350" s="647">
        <v>730</v>
      </c>
      <c r="J350" s="647">
        <v>0</v>
      </c>
      <c r="K350" s="623">
        <f t="shared" si="130"/>
        <v>4630</v>
      </c>
      <c r="L350" s="647">
        <v>1000</v>
      </c>
      <c r="M350" s="647">
        <v>0</v>
      </c>
      <c r="N350" s="624">
        <f t="shared" si="122"/>
        <v>1000</v>
      </c>
      <c r="O350" s="625">
        <f t="shared" si="123"/>
        <v>56560</v>
      </c>
      <c r="P350" s="626">
        <f t="shared" si="124"/>
        <v>169680</v>
      </c>
      <c r="Q350" s="648">
        <v>3</v>
      </c>
      <c r="R350" s="623">
        <v>3900</v>
      </c>
      <c r="S350" s="623">
        <v>0</v>
      </c>
      <c r="T350" s="623">
        <v>0</v>
      </c>
      <c r="U350" s="623">
        <v>0</v>
      </c>
      <c r="V350" s="623">
        <v>0</v>
      </c>
      <c r="W350" s="623">
        <v>0</v>
      </c>
      <c r="X350" s="623">
        <v>730</v>
      </c>
      <c r="Y350" s="623">
        <v>0</v>
      </c>
      <c r="Z350" s="623">
        <f t="shared" si="125"/>
        <v>4630</v>
      </c>
      <c r="AA350" s="623">
        <v>1000</v>
      </c>
      <c r="AB350" s="623">
        <v>0</v>
      </c>
      <c r="AC350" s="624">
        <v>1000</v>
      </c>
      <c r="AD350" s="625">
        <f t="shared" si="126"/>
        <v>56560</v>
      </c>
      <c r="AE350" s="626">
        <f t="shared" si="127"/>
        <v>169680</v>
      </c>
      <c r="AF350" s="627">
        <f t="shared" si="128"/>
        <v>0</v>
      </c>
      <c r="AG350" s="627">
        <f t="shared" si="128"/>
        <v>0</v>
      </c>
      <c r="AH350" s="628">
        <v>3</v>
      </c>
      <c r="AI350" s="627">
        <f t="shared" si="129"/>
        <v>169680</v>
      </c>
    </row>
    <row r="351" spans="1:35" x14ac:dyDescent="0.2">
      <c r="A351" s="619" t="s">
        <v>1495</v>
      </c>
      <c r="B351" s="614">
        <v>5</v>
      </c>
      <c r="C351" s="623">
        <v>3660</v>
      </c>
      <c r="D351" s="647">
        <v>0</v>
      </c>
      <c r="E351" s="647">
        <v>0</v>
      </c>
      <c r="F351" s="647">
        <v>0</v>
      </c>
      <c r="G351" s="647">
        <v>0</v>
      </c>
      <c r="H351" s="647">
        <v>0</v>
      </c>
      <c r="I351" s="647">
        <v>730</v>
      </c>
      <c r="J351" s="647">
        <v>0</v>
      </c>
      <c r="K351" s="623">
        <f t="shared" si="130"/>
        <v>4390</v>
      </c>
      <c r="L351" s="647">
        <v>1000</v>
      </c>
      <c r="M351" s="647">
        <v>0</v>
      </c>
      <c r="N351" s="624">
        <f t="shared" si="122"/>
        <v>1000</v>
      </c>
      <c r="O351" s="625">
        <f t="shared" si="123"/>
        <v>53680</v>
      </c>
      <c r="P351" s="626">
        <f t="shared" si="124"/>
        <v>268400</v>
      </c>
      <c r="Q351" s="648">
        <v>5</v>
      </c>
      <c r="R351" s="623">
        <v>3660</v>
      </c>
      <c r="S351" s="623">
        <v>0</v>
      </c>
      <c r="T351" s="623">
        <v>0</v>
      </c>
      <c r="U351" s="623">
        <v>0</v>
      </c>
      <c r="V351" s="623">
        <v>0</v>
      </c>
      <c r="W351" s="623">
        <v>0</v>
      </c>
      <c r="X351" s="623">
        <v>730</v>
      </c>
      <c r="Y351" s="623">
        <v>0</v>
      </c>
      <c r="Z351" s="623">
        <f t="shared" si="125"/>
        <v>4390</v>
      </c>
      <c r="AA351" s="623">
        <v>1000</v>
      </c>
      <c r="AB351" s="623">
        <v>0</v>
      </c>
      <c r="AC351" s="624">
        <v>1000</v>
      </c>
      <c r="AD351" s="625">
        <f t="shared" si="126"/>
        <v>53680</v>
      </c>
      <c r="AE351" s="626">
        <f t="shared" si="127"/>
        <v>268400</v>
      </c>
      <c r="AF351" s="627">
        <f t="shared" si="128"/>
        <v>0</v>
      </c>
      <c r="AG351" s="627">
        <f t="shared" si="128"/>
        <v>0</v>
      </c>
      <c r="AH351" s="628">
        <v>5</v>
      </c>
      <c r="AI351" s="627">
        <f t="shared" si="129"/>
        <v>268400</v>
      </c>
    </row>
    <row r="352" spans="1:35" x14ac:dyDescent="0.2">
      <c r="A352" s="619" t="s">
        <v>1496</v>
      </c>
      <c r="B352" s="614">
        <v>95</v>
      </c>
      <c r="C352" s="638">
        <v>3344</v>
      </c>
      <c r="D352" s="647">
        <v>0</v>
      </c>
      <c r="E352" s="647">
        <v>0</v>
      </c>
      <c r="F352" s="647">
        <v>0</v>
      </c>
      <c r="G352" s="647">
        <v>0</v>
      </c>
      <c r="H352" s="647">
        <v>0</v>
      </c>
      <c r="I352" s="647">
        <v>730</v>
      </c>
      <c r="J352" s="647">
        <v>0</v>
      </c>
      <c r="K352" s="623">
        <f t="shared" si="130"/>
        <v>4074</v>
      </c>
      <c r="L352" s="647">
        <v>1000</v>
      </c>
      <c r="M352" s="647">
        <v>0</v>
      </c>
      <c r="N352" s="624">
        <f t="shared" si="122"/>
        <v>1000</v>
      </c>
      <c r="O352" s="625">
        <f t="shared" si="123"/>
        <v>49888</v>
      </c>
      <c r="P352" s="626">
        <f t="shared" si="124"/>
        <v>4739360</v>
      </c>
      <c r="Q352" s="648">
        <v>95</v>
      </c>
      <c r="R352" s="623">
        <v>3344</v>
      </c>
      <c r="S352" s="623">
        <v>0</v>
      </c>
      <c r="T352" s="623">
        <v>0</v>
      </c>
      <c r="U352" s="623">
        <v>0</v>
      </c>
      <c r="V352" s="623">
        <v>0</v>
      </c>
      <c r="W352" s="623">
        <v>0</v>
      </c>
      <c r="X352" s="623">
        <v>730</v>
      </c>
      <c r="Y352" s="623">
        <v>0</v>
      </c>
      <c r="Z352" s="623">
        <f t="shared" si="125"/>
        <v>4074</v>
      </c>
      <c r="AA352" s="623">
        <v>1000</v>
      </c>
      <c r="AB352" s="623">
        <v>0</v>
      </c>
      <c r="AC352" s="624">
        <v>1000</v>
      </c>
      <c r="AD352" s="625">
        <f t="shared" si="126"/>
        <v>49888</v>
      </c>
      <c r="AE352" s="626">
        <f t="shared" si="127"/>
        <v>4739360</v>
      </c>
      <c r="AF352" s="627">
        <f t="shared" si="128"/>
        <v>0</v>
      </c>
      <c r="AG352" s="627">
        <f t="shared" si="128"/>
        <v>0</v>
      </c>
      <c r="AH352" s="628">
        <v>101</v>
      </c>
      <c r="AI352" s="627">
        <f t="shared" si="129"/>
        <v>5038688</v>
      </c>
    </row>
    <row r="353" spans="1:35" x14ac:dyDescent="0.2">
      <c r="A353" s="619" t="s">
        <v>1497</v>
      </c>
      <c r="B353" s="614">
        <v>0</v>
      </c>
      <c r="C353" s="643"/>
      <c r="D353" s="647">
        <v>0</v>
      </c>
      <c r="E353" s="647">
        <v>0</v>
      </c>
      <c r="F353" s="647">
        <v>0</v>
      </c>
      <c r="G353" s="647">
        <v>0</v>
      </c>
      <c r="H353" s="647">
        <v>0</v>
      </c>
      <c r="I353" s="647">
        <v>0</v>
      </c>
      <c r="J353" s="647">
        <v>0</v>
      </c>
      <c r="K353" s="623">
        <f t="shared" si="130"/>
        <v>0</v>
      </c>
      <c r="L353" s="647">
        <v>0</v>
      </c>
      <c r="M353" s="647">
        <v>0</v>
      </c>
      <c r="N353" s="624">
        <f t="shared" si="122"/>
        <v>0</v>
      </c>
      <c r="O353" s="625">
        <f t="shared" si="123"/>
        <v>0</v>
      </c>
      <c r="P353" s="626">
        <f t="shared" si="124"/>
        <v>0</v>
      </c>
      <c r="Q353" s="648">
        <v>0</v>
      </c>
      <c r="R353" s="623"/>
      <c r="S353" s="623">
        <v>0</v>
      </c>
      <c r="T353" s="623">
        <v>0</v>
      </c>
      <c r="U353" s="623">
        <v>0</v>
      </c>
      <c r="V353" s="623">
        <v>0</v>
      </c>
      <c r="W353" s="623">
        <v>0</v>
      </c>
      <c r="X353" s="623">
        <v>0</v>
      </c>
      <c r="Y353" s="623">
        <v>0</v>
      </c>
      <c r="Z353" s="623">
        <f t="shared" si="125"/>
        <v>0</v>
      </c>
      <c r="AA353" s="623">
        <v>0</v>
      </c>
      <c r="AB353" s="623">
        <v>0</v>
      </c>
      <c r="AC353" s="624">
        <v>0</v>
      </c>
      <c r="AD353" s="625">
        <f t="shared" si="126"/>
        <v>0</v>
      </c>
      <c r="AE353" s="626">
        <f t="shared" si="127"/>
        <v>0</v>
      </c>
      <c r="AF353" s="627">
        <f t="shared" si="128"/>
        <v>0</v>
      </c>
      <c r="AG353" s="627">
        <f t="shared" si="128"/>
        <v>0</v>
      </c>
      <c r="AH353" s="628">
        <v>0</v>
      </c>
      <c r="AI353" s="627">
        <f t="shared" si="129"/>
        <v>0</v>
      </c>
    </row>
    <row r="354" spans="1:35" x14ac:dyDescent="0.2">
      <c r="A354" s="619" t="s">
        <v>1498</v>
      </c>
      <c r="B354" s="614">
        <v>1</v>
      </c>
      <c r="C354" s="623">
        <v>3660</v>
      </c>
      <c r="D354" s="647">
        <v>0</v>
      </c>
      <c r="E354" s="647">
        <v>0</v>
      </c>
      <c r="F354" s="647">
        <v>0</v>
      </c>
      <c r="G354" s="647">
        <v>0</v>
      </c>
      <c r="H354" s="647">
        <v>0</v>
      </c>
      <c r="I354" s="647">
        <v>730</v>
      </c>
      <c r="J354" s="647">
        <v>0</v>
      </c>
      <c r="K354" s="623">
        <f t="shared" si="130"/>
        <v>4390</v>
      </c>
      <c r="L354" s="647">
        <v>1000</v>
      </c>
      <c r="M354" s="647">
        <v>0</v>
      </c>
      <c r="N354" s="624">
        <f t="shared" si="122"/>
        <v>1000</v>
      </c>
      <c r="O354" s="625">
        <f t="shared" si="123"/>
        <v>53680</v>
      </c>
      <c r="P354" s="626">
        <f t="shared" si="124"/>
        <v>53680</v>
      </c>
      <c r="Q354" s="648">
        <v>1</v>
      </c>
      <c r="R354" s="623">
        <v>3660</v>
      </c>
      <c r="S354" s="623">
        <v>0</v>
      </c>
      <c r="T354" s="623">
        <v>0</v>
      </c>
      <c r="U354" s="623">
        <v>0</v>
      </c>
      <c r="V354" s="623">
        <v>0</v>
      </c>
      <c r="W354" s="623">
        <v>0</v>
      </c>
      <c r="X354" s="623">
        <v>730</v>
      </c>
      <c r="Y354" s="623">
        <v>0</v>
      </c>
      <c r="Z354" s="623">
        <f t="shared" si="125"/>
        <v>4390</v>
      </c>
      <c r="AA354" s="623">
        <v>1000</v>
      </c>
      <c r="AB354" s="623">
        <v>0</v>
      </c>
      <c r="AC354" s="624">
        <v>1000</v>
      </c>
      <c r="AD354" s="625">
        <f t="shared" si="126"/>
        <v>53680</v>
      </c>
      <c r="AE354" s="626">
        <f t="shared" si="127"/>
        <v>53680</v>
      </c>
      <c r="AF354" s="627">
        <f t="shared" si="128"/>
        <v>0</v>
      </c>
      <c r="AG354" s="627">
        <f t="shared" si="128"/>
        <v>0</v>
      </c>
      <c r="AH354" s="628">
        <v>1</v>
      </c>
      <c r="AI354" s="627">
        <f t="shared" si="129"/>
        <v>53680</v>
      </c>
    </row>
    <row r="355" spans="1:35" x14ac:dyDescent="0.2">
      <c r="A355" s="619" t="s">
        <v>1499</v>
      </c>
      <c r="B355" s="614">
        <v>0</v>
      </c>
      <c r="C355" s="643"/>
      <c r="D355" s="647">
        <v>0</v>
      </c>
      <c r="E355" s="647">
        <v>0</v>
      </c>
      <c r="F355" s="647">
        <v>0</v>
      </c>
      <c r="G355" s="647">
        <v>0</v>
      </c>
      <c r="H355" s="647">
        <v>0</v>
      </c>
      <c r="I355" s="647">
        <v>0</v>
      </c>
      <c r="J355" s="647">
        <v>0</v>
      </c>
      <c r="K355" s="623">
        <f t="shared" si="130"/>
        <v>0</v>
      </c>
      <c r="L355" s="643"/>
      <c r="M355" s="647">
        <v>0</v>
      </c>
      <c r="N355" s="624">
        <f t="shared" si="122"/>
        <v>0</v>
      </c>
      <c r="O355" s="625">
        <f t="shared" si="123"/>
        <v>0</v>
      </c>
      <c r="P355" s="626">
        <f t="shared" si="124"/>
        <v>0</v>
      </c>
      <c r="Q355" s="648">
        <v>0</v>
      </c>
      <c r="R355" s="623"/>
      <c r="S355" s="623">
        <v>0</v>
      </c>
      <c r="T355" s="623">
        <v>0</v>
      </c>
      <c r="U355" s="623">
        <v>0</v>
      </c>
      <c r="V355" s="623">
        <v>0</v>
      </c>
      <c r="W355" s="623">
        <v>0</v>
      </c>
      <c r="X355" s="623">
        <v>0</v>
      </c>
      <c r="Y355" s="623">
        <v>0</v>
      </c>
      <c r="Z355" s="623">
        <f t="shared" si="125"/>
        <v>0</v>
      </c>
      <c r="AA355" s="623"/>
      <c r="AB355" s="623">
        <v>0</v>
      </c>
      <c r="AC355" s="624">
        <v>0</v>
      </c>
      <c r="AD355" s="625">
        <f t="shared" si="126"/>
        <v>0</v>
      </c>
      <c r="AE355" s="626">
        <f t="shared" si="127"/>
        <v>0</v>
      </c>
      <c r="AF355" s="627">
        <f t="shared" si="128"/>
        <v>0</v>
      </c>
      <c r="AG355" s="627">
        <f t="shared" si="128"/>
        <v>0</v>
      </c>
      <c r="AH355" s="628">
        <v>0</v>
      </c>
      <c r="AI355" s="627">
        <f t="shared" si="129"/>
        <v>0</v>
      </c>
    </row>
    <row r="356" spans="1:35" x14ac:dyDescent="0.2">
      <c r="A356" s="619"/>
      <c r="B356" s="599"/>
      <c r="C356" s="643"/>
      <c r="D356" s="643"/>
      <c r="E356" s="643"/>
      <c r="F356" s="643"/>
      <c r="G356" s="643"/>
      <c r="H356" s="643"/>
      <c r="I356" s="643"/>
      <c r="J356" s="643"/>
      <c r="K356" s="643"/>
      <c r="L356" s="643"/>
      <c r="M356" s="643"/>
      <c r="N356" s="98"/>
      <c r="O356" s="637"/>
      <c r="P356" s="628"/>
      <c r="Q356" s="648"/>
      <c r="R356" s="643"/>
      <c r="S356" s="643"/>
      <c r="T356" s="643"/>
      <c r="U356" s="643"/>
      <c r="V356" s="643"/>
      <c r="W356" s="643"/>
      <c r="X356" s="643"/>
      <c r="Y356" s="643"/>
      <c r="Z356" s="643"/>
      <c r="AA356" s="643"/>
      <c r="AB356" s="643"/>
      <c r="AC356" s="98"/>
      <c r="AD356" s="637"/>
      <c r="AE356" s="628"/>
      <c r="AF356" s="628"/>
      <c r="AG356" s="644"/>
      <c r="AH356" s="628"/>
      <c r="AI356" s="644"/>
    </row>
    <row r="357" spans="1:35" ht="12.75" thickBot="1" x14ac:dyDescent="0.25">
      <c r="A357" s="621" t="s">
        <v>0</v>
      </c>
      <c r="B357" s="622">
        <f>B347+B341+B335+B329+B323+B316+B308+B301+B294+B279+B272+B266+B286</f>
        <v>1436</v>
      </c>
      <c r="C357" s="645">
        <f>C347+C341+C335+C329+C316+C308+C301+C294+C286+C279+C272+C266</f>
        <v>126969.48</v>
      </c>
      <c r="D357" s="645">
        <f t="shared" ref="D357:O357" si="131">+SUM(D265:D355)</f>
        <v>73749</v>
      </c>
      <c r="E357" s="645">
        <f t="shared" si="131"/>
        <v>0</v>
      </c>
      <c r="F357" s="645">
        <f t="shared" si="131"/>
        <v>0</v>
      </c>
      <c r="G357" s="645">
        <f t="shared" si="131"/>
        <v>0</v>
      </c>
      <c r="H357" s="645">
        <f t="shared" si="131"/>
        <v>0</v>
      </c>
      <c r="I357" s="645">
        <f t="shared" si="131"/>
        <v>24600</v>
      </c>
      <c r="J357" s="645">
        <f t="shared" si="131"/>
        <v>6801.1876618191764</v>
      </c>
      <c r="K357" s="645">
        <f t="shared" si="131"/>
        <v>218438.1676618192</v>
      </c>
      <c r="L357" s="645">
        <f t="shared" si="131"/>
        <v>56600</v>
      </c>
      <c r="M357" s="645">
        <f t="shared" si="131"/>
        <v>0</v>
      </c>
      <c r="N357" s="645">
        <f t="shared" si="131"/>
        <v>62000</v>
      </c>
      <c r="O357" s="645">
        <f t="shared" si="131"/>
        <v>2678258.0119418306</v>
      </c>
      <c r="P357" s="645">
        <f t="shared" ref="P357:AF357" si="132">+SUM(P265:P355)</f>
        <v>70083594.377408922</v>
      </c>
      <c r="Q357" s="646">
        <f>Q347+Q341+Q335+Q329+Q323+Q316+Q308+Q301+Q294+Q279+Q272+Q266+Q286</f>
        <v>1490</v>
      </c>
      <c r="R357" s="645">
        <f>R347+R341+R335+R329+R316+R308+R301+R294+R286+R279+R272+R266</f>
        <v>126969.48</v>
      </c>
      <c r="S357" s="645">
        <f t="shared" si="132"/>
        <v>75004.5</v>
      </c>
      <c r="T357" s="645">
        <f t="shared" si="132"/>
        <v>0</v>
      </c>
      <c r="U357" s="645">
        <f t="shared" si="132"/>
        <v>0</v>
      </c>
      <c r="V357" s="645">
        <f t="shared" si="132"/>
        <v>0</v>
      </c>
      <c r="W357" s="645">
        <f t="shared" si="132"/>
        <v>0</v>
      </c>
      <c r="X357" s="645">
        <f t="shared" si="132"/>
        <v>30370</v>
      </c>
      <c r="Y357" s="645">
        <f t="shared" si="132"/>
        <v>8481.9476618191748</v>
      </c>
      <c r="Z357" s="645">
        <f t="shared" si="132"/>
        <v>225021.93766181919</v>
      </c>
      <c r="AA357" s="645">
        <f t="shared" si="132"/>
        <v>57600</v>
      </c>
      <c r="AB357" s="645">
        <f t="shared" si="132"/>
        <v>0</v>
      </c>
      <c r="AC357" s="645">
        <f t="shared" si="132"/>
        <v>57600</v>
      </c>
      <c r="AD357" s="645">
        <f t="shared" si="132"/>
        <v>2757863.2519418304</v>
      </c>
      <c r="AE357" s="645">
        <f>SUM(AE267:AE355)</f>
        <v>74819694.857473686</v>
      </c>
      <c r="AF357" s="645">
        <f t="shared" si="132"/>
        <v>79605.239999999991</v>
      </c>
      <c r="AG357" s="645">
        <f>+SUM(AG265:AG355)</f>
        <v>4736100.480064773</v>
      </c>
      <c r="AH357" s="646">
        <f>+SUM(AH267:AH356)</f>
        <v>1515</v>
      </c>
      <c r="AI357" s="645">
        <f>+SUM(AI265:AI355)</f>
        <v>76574750.097473666</v>
      </c>
    </row>
    <row r="358" spans="1:35" x14ac:dyDescent="0.2">
      <c r="A358" s="162" t="s">
        <v>73</v>
      </c>
      <c r="B358" s="162"/>
      <c r="C358" s="483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H358" s="162"/>
      <c r="AI358" s="162"/>
    </row>
    <row r="359" spans="1:35" x14ac:dyDescent="0.2">
      <c r="A359" s="162" t="s">
        <v>74</v>
      </c>
      <c r="B359" s="162"/>
      <c r="C359" s="483" t="s">
        <v>168</v>
      </c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H359" s="162"/>
      <c r="AI359" s="162"/>
    </row>
    <row r="360" spans="1:35" x14ac:dyDescent="0.2">
      <c r="A360" s="162" t="s">
        <v>75</v>
      </c>
      <c r="B360" s="162"/>
      <c r="C360" s="483" t="s">
        <v>76</v>
      </c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H360" s="162"/>
      <c r="AI360" s="162"/>
    </row>
    <row r="361" spans="1:35" x14ac:dyDescent="0.2">
      <c r="A361" s="162" t="s">
        <v>77</v>
      </c>
      <c r="B361" s="162"/>
      <c r="C361" s="483" t="s">
        <v>78</v>
      </c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H361" s="162"/>
      <c r="AI361" s="162"/>
    </row>
    <row r="362" spans="1:35" x14ac:dyDescent="0.2">
      <c r="A362" s="162" t="s">
        <v>79</v>
      </c>
      <c r="B362" s="162"/>
      <c r="C362" s="483" t="s">
        <v>80</v>
      </c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H362" s="162"/>
      <c r="AI362" s="162"/>
    </row>
    <row r="363" spans="1:35" x14ac:dyDescent="0.2">
      <c r="A363" s="162"/>
      <c r="B363" s="162"/>
      <c r="C363" s="483" t="s">
        <v>81</v>
      </c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H363" s="162"/>
      <c r="AI363" s="162"/>
    </row>
    <row r="364" spans="1:35" x14ac:dyDescent="0.2">
      <c r="A364" s="162" t="s">
        <v>82</v>
      </c>
      <c r="B364" s="162"/>
      <c r="C364" s="483" t="s">
        <v>159</v>
      </c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H364" s="162"/>
      <c r="AI364" s="162"/>
    </row>
    <row r="365" spans="1:35" x14ac:dyDescent="0.2">
      <c r="A365" s="162"/>
      <c r="B365" s="162"/>
      <c r="C365" s="483" t="s">
        <v>83</v>
      </c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H365" s="162"/>
      <c r="AI365" s="162"/>
    </row>
    <row r="366" spans="1:35" x14ac:dyDescent="0.2">
      <c r="A366" s="162"/>
      <c r="B366" s="162"/>
      <c r="C366" s="483" t="s">
        <v>84</v>
      </c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H366" s="162"/>
      <c r="AI366" s="162"/>
    </row>
    <row r="367" spans="1:35" x14ac:dyDescent="0.2">
      <c r="A367" s="162"/>
      <c r="B367" s="162"/>
      <c r="C367" s="483" t="s">
        <v>85</v>
      </c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H367" s="162"/>
      <c r="AI367" s="162"/>
    </row>
    <row r="368" spans="1:35" x14ac:dyDescent="0.2">
      <c r="A368" s="162" t="s">
        <v>194</v>
      </c>
      <c r="B368" s="162"/>
      <c r="C368" s="483" t="s">
        <v>195</v>
      </c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H368" s="162"/>
      <c r="AI368" s="162"/>
    </row>
    <row r="369" spans="1:35" x14ac:dyDescent="0.2">
      <c r="A369" s="162" t="s">
        <v>196</v>
      </c>
      <c r="B369" s="162"/>
      <c r="C369" s="483" t="s">
        <v>164</v>
      </c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H369" s="162"/>
      <c r="AI369" s="162"/>
    </row>
    <row r="370" spans="1:35" x14ac:dyDescent="0.2">
      <c r="A370" s="162" t="s">
        <v>197</v>
      </c>
      <c r="B370" s="162"/>
      <c r="C370" s="483" t="s">
        <v>160</v>
      </c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H370" s="162"/>
      <c r="AI370" s="162"/>
    </row>
    <row r="371" spans="1:35" x14ac:dyDescent="0.2">
      <c r="A371" s="162"/>
      <c r="B371" s="162"/>
      <c r="C371" s="483" t="s">
        <v>83</v>
      </c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H371" s="162"/>
      <c r="AI371" s="162"/>
    </row>
    <row r="372" spans="1:35" x14ac:dyDescent="0.2">
      <c r="A372" s="162"/>
      <c r="B372" s="162"/>
      <c r="C372" s="483" t="s">
        <v>84</v>
      </c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H372" s="162"/>
      <c r="AI372" s="162"/>
    </row>
    <row r="373" spans="1:35" x14ac:dyDescent="0.2">
      <c r="A373" s="162"/>
      <c r="B373" s="162"/>
      <c r="C373" s="483" t="s">
        <v>123</v>
      </c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H373" s="162"/>
      <c r="AI373" s="162"/>
    </row>
    <row r="374" spans="1:35" x14ac:dyDescent="0.2">
      <c r="A374" s="162" t="s">
        <v>206</v>
      </c>
      <c r="B374" s="162"/>
      <c r="C374" s="483" t="s">
        <v>207</v>
      </c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H374" s="162"/>
      <c r="AI374" s="162"/>
    </row>
    <row r="375" spans="1:35" x14ac:dyDescent="0.2">
      <c r="A375" s="162" t="s">
        <v>204</v>
      </c>
      <c r="B375" s="162"/>
      <c r="C375" s="483" t="s">
        <v>200</v>
      </c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H375" s="162"/>
      <c r="AI375" s="162"/>
    </row>
    <row r="376" spans="1:35" x14ac:dyDescent="0.2">
      <c r="A376" s="162" t="s">
        <v>205</v>
      </c>
      <c r="B376" s="162"/>
      <c r="C376" s="483" t="s">
        <v>208</v>
      </c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H376" s="162"/>
      <c r="AI376" s="162"/>
    </row>
    <row r="379" spans="1:35" x14ac:dyDescent="0.2">
      <c r="A379" s="148" t="s">
        <v>439</v>
      </c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1"/>
      <c r="AF379" s="151"/>
      <c r="AG379" s="151"/>
      <c r="AH379" s="151"/>
      <c r="AI379" s="151"/>
    </row>
    <row r="380" spans="1:35" x14ac:dyDescent="0.2">
      <c r="A380" s="173" t="s">
        <v>460</v>
      </c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51"/>
      <c r="AF380" s="151"/>
      <c r="AG380" s="151"/>
      <c r="AH380" s="151"/>
      <c r="AI380" s="151"/>
    </row>
    <row r="381" spans="1:35" ht="12.75" thickBot="1" x14ac:dyDescent="0.25">
      <c r="A381" s="15" t="s">
        <v>2087</v>
      </c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</row>
    <row r="382" spans="1:35" ht="12.75" thickBot="1" x14ac:dyDescent="0.25">
      <c r="A382" s="1467" t="s">
        <v>50</v>
      </c>
      <c r="B382" s="1489" t="s">
        <v>351</v>
      </c>
      <c r="C382" s="1489"/>
      <c r="D382" s="1489"/>
      <c r="E382" s="1489"/>
      <c r="F382" s="1489"/>
      <c r="G382" s="1489"/>
      <c r="H382" s="1489"/>
      <c r="I382" s="1489"/>
      <c r="J382" s="1489"/>
      <c r="K382" s="1489"/>
      <c r="L382" s="1489"/>
      <c r="M382" s="1489"/>
      <c r="N382" s="1489"/>
      <c r="O382" s="1489"/>
      <c r="P382" s="1489"/>
      <c r="Q382" s="1490" t="s">
        <v>440</v>
      </c>
      <c r="R382" s="1489"/>
      <c r="S382" s="1489"/>
      <c r="T382" s="1489"/>
      <c r="U382" s="1489"/>
      <c r="V382" s="1489"/>
      <c r="W382" s="1489"/>
      <c r="X382" s="1489"/>
      <c r="Y382" s="1489"/>
      <c r="Z382" s="1489"/>
      <c r="AA382" s="1489"/>
      <c r="AB382" s="1489"/>
      <c r="AC382" s="1489"/>
      <c r="AD382" s="1489"/>
      <c r="AE382" s="1491"/>
      <c r="AF382" s="1485" t="s">
        <v>442</v>
      </c>
      <c r="AG382" s="1486"/>
      <c r="AH382" s="1485" t="s">
        <v>441</v>
      </c>
      <c r="AI382" s="1486"/>
    </row>
    <row r="383" spans="1:35" ht="140.25" x14ac:dyDescent="0.2">
      <c r="A383" s="1487"/>
      <c r="B383" s="245" t="s">
        <v>11</v>
      </c>
      <c r="C383" s="246" t="s">
        <v>153</v>
      </c>
      <c r="D383" s="247" t="s">
        <v>279</v>
      </c>
      <c r="E383" s="247" t="s">
        <v>155</v>
      </c>
      <c r="F383" s="247" t="s">
        <v>190</v>
      </c>
      <c r="G383" s="247" t="s">
        <v>191</v>
      </c>
      <c r="H383" s="247" t="s">
        <v>192</v>
      </c>
      <c r="I383" s="247" t="s">
        <v>193</v>
      </c>
      <c r="J383" s="247" t="s">
        <v>156</v>
      </c>
      <c r="K383" s="247" t="s">
        <v>157</v>
      </c>
      <c r="L383" s="247" t="s">
        <v>158</v>
      </c>
      <c r="M383" s="247" t="s">
        <v>189</v>
      </c>
      <c r="N383" s="248" t="s">
        <v>125</v>
      </c>
      <c r="O383" s="249" t="s">
        <v>163</v>
      </c>
      <c r="P383" s="250" t="s">
        <v>162</v>
      </c>
      <c r="Q383" s="245" t="s">
        <v>11</v>
      </c>
      <c r="R383" s="246" t="s">
        <v>153</v>
      </c>
      <c r="S383" s="247" t="s">
        <v>154</v>
      </c>
      <c r="T383" s="247" t="s">
        <v>155</v>
      </c>
      <c r="U383" s="247" t="s">
        <v>190</v>
      </c>
      <c r="V383" s="247" t="s">
        <v>191</v>
      </c>
      <c r="W383" s="247" t="s">
        <v>192</v>
      </c>
      <c r="X383" s="247" t="s">
        <v>193</v>
      </c>
      <c r="Y383" s="247" t="s">
        <v>156</v>
      </c>
      <c r="Z383" s="247" t="s">
        <v>157</v>
      </c>
      <c r="AA383" s="247" t="s">
        <v>158</v>
      </c>
      <c r="AB383" s="247" t="s">
        <v>189</v>
      </c>
      <c r="AC383" s="248" t="s">
        <v>125</v>
      </c>
      <c r="AD383" s="249" t="s">
        <v>163</v>
      </c>
      <c r="AE383" s="250" t="s">
        <v>352</v>
      </c>
      <c r="AF383" s="251" t="s">
        <v>167</v>
      </c>
      <c r="AG383" s="251" t="s">
        <v>166</v>
      </c>
      <c r="AH383" s="251" t="s">
        <v>11</v>
      </c>
      <c r="AI383" s="250" t="s">
        <v>353</v>
      </c>
    </row>
    <row r="384" spans="1:35" ht="12.75" thickBot="1" x14ac:dyDescent="0.25">
      <c r="A384" s="1488"/>
      <c r="B384" s="252" t="s">
        <v>51</v>
      </c>
      <c r="C384" s="253" t="s">
        <v>52</v>
      </c>
      <c r="D384" s="254" t="s">
        <v>53</v>
      </c>
      <c r="E384" s="254" t="s">
        <v>54</v>
      </c>
      <c r="F384" s="255" t="s">
        <v>55</v>
      </c>
      <c r="G384" s="255" t="s">
        <v>56</v>
      </c>
      <c r="H384" s="255" t="s">
        <v>86</v>
      </c>
      <c r="I384" s="255" t="s">
        <v>124</v>
      </c>
      <c r="J384" s="255" t="s">
        <v>161</v>
      </c>
      <c r="K384" s="255" t="s">
        <v>165</v>
      </c>
      <c r="L384" s="255" t="s">
        <v>198</v>
      </c>
      <c r="M384" s="255" t="s">
        <v>199</v>
      </c>
      <c r="N384" s="256" t="s">
        <v>201</v>
      </c>
      <c r="O384" s="257" t="s">
        <v>202</v>
      </c>
      <c r="P384" s="258" t="s">
        <v>203</v>
      </c>
      <c r="Q384" s="252" t="s">
        <v>51</v>
      </c>
      <c r="R384" s="253" t="s">
        <v>52</v>
      </c>
      <c r="S384" s="254" t="s">
        <v>53</v>
      </c>
      <c r="T384" s="254" t="s">
        <v>54</v>
      </c>
      <c r="U384" s="255" t="s">
        <v>55</v>
      </c>
      <c r="V384" s="255" t="s">
        <v>56</v>
      </c>
      <c r="W384" s="255" t="s">
        <v>86</v>
      </c>
      <c r="X384" s="255" t="s">
        <v>124</v>
      </c>
      <c r="Y384" s="255" t="s">
        <v>161</v>
      </c>
      <c r="Z384" s="255" t="s">
        <v>165</v>
      </c>
      <c r="AA384" s="255" t="s">
        <v>198</v>
      </c>
      <c r="AB384" s="255" t="s">
        <v>199</v>
      </c>
      <c r="AC384" s="256" t="s">
        <v>201</v>
      </c>
      <c r="AD384" s="257" t="s">
        <v>202</v>
      </c>
      <c r="AE384" s="258" t="s">
        <v>203</v>
      </c>
      <c r="AF384" s="259"/>
      <c r="AG384" s="252"/>
      <c r="AH384" s="259"/>
      <c r="AI384" s="252"/>
    </row>
    <row r="385" spans="1:35" x14ac:dyDescent="0.2">
      <c r="A385" s="55"/>
      <c r="B385" s="16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62"/>
      <c r="O385" s="62"/>
      <c r="P385" s="17"/>
      <c r="Q385" s="16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62"/>
      <c r="AD385" s="62"/>
      <c r="AE385" s="17"/>
      <c r="AF385" s="17"/>
      <c r="AG385" s="16"/>
      <c r="AH385" s="17"/>
      <c r="AI385" s="16"/>
    </row>
    <row r="386" spans="1:35" ht="12.75" x14ac:dyDescent="0.2">
      <c r="A386" s="778" t="s">
        <v>57</v>
      </c>
      <c r="B386" s="779"/>
      <c r="C386" s="780"/>
      <c r="D386" s="780"/>
      <c r="E386" s="12"/>
      <c r="F386" s="12"/>
      <c r="G386" s="12"/>
      <c r="H386" s="12"/>
      <c r="I386" s="12"/>
      <c r="J386" s="12"/>
      <c r="K386" s="781">
        <f>+C386+D386+E386+F386+G386+H386+I386+J386</f>
        <v>0</v>
      </c>
      <c r="L386" s="12"/>
      <c r="M386" s="12"/>
      <c r="N386" s="162"/>
      <c r="O386" s="62"/>
      <c r="P386" s="17"/>
      <c r="Q386" s="16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62"/>
      <c r="AD386" s="62"/>
      <c r="AE386" s="17"/>
      <c r="AF386" s="17"/>
      <c r="AG386" s="16"/>
      <c r="AH386" s="17"/>
      <c r="AI386" s="16"/>
    </row>
    <row r="387" spans="1:35" ht="12.75" x14ac:dyDescent="0.2">
      <c r="A387" s="782" t="s">
        <v>2088</v>
      </c>
      <c r="B387" s="779">
        <v>1</v>
      </c>
      <c r="C387" s="783">
        <v>898.28000000000009</v>
      </c>
      <c r="D387" s="780">
        <v>1194.45</v>
      </c>
      <c r="E387" s="12"/>
      <c r="F387" s="12"/>
      <c r="G387" s="12"/>
      <c r="H387" s="12"/>
      <c r="I387" s="12"/>
      <c r="J387" s="12"/>
      <c r="K387" s="781">
        <f>+C387+D387+E387+F387+G387+H387+I387+J387</f>
        <v>2092.73</v>
      </c>
      <c r="L387" s="12"/>
      <c r="M387" s="12"/>
      <c r="N387" s="162"/>
      <c r="O387" s="784">
        <f>+(K387*12)+N387</f>
        <v>25112.760000000002</v>
      </c>
      <c r="P387" s="785">
        <f>+B387*C387</f>
        <v>898.28000000000009</v>
      </c>
      <c r="Q387" s="786">
        <v>1</v>
      </c>
      <c r="R387" s="780">
        <v>898.28</v>
      </c>
      <c r="S387" s="780">
        <v>1251.33</v>
      </c>
      <c r="T387" s="12"/>
      <c r="U387" s="12"/>
      <c r="V387" s="12"/>
      <c r="W387" s="12"/>
      <c r="X387" s="12"/>
      <c r="Y387" s="12"/>
      <c r="Z387" s="780">
        <f>+R387+S387+T387+U387+V387+W387+X387+Y387</f>
        <v>2149.6099999999997</v>
      </c>
      <c r="AA387" s="780"/>
      <c r="AB387" s="780"/>
      <c r="AC387" s="787"/>
      <c r="AD387" s="784">
        <f>+(Z387*12)+AC387</f>
        <v>25795.319999999996</v>
      </c>
      <c r="AE387" s="788">
        <f>+Q387*AD387</f>
        <v>25795.319999999996</v>
      </c>
      <c r="AF387" s="785">
        <f>+C387-R387</f>
        <v>0</v>
      </c>
      <c r="AG387" s="786">
        <f>+B387-Q387</f>
        <v>0</v>
      </c>
      <c r="AH387" s="788">
        <f>+B387-Q387</f>
        <v>0</v>
      </c>
      <c r="AI387" s="786">
        <v>898.28</v>
      </c>
    </row>
    <row r="388" spans="1:35" ht="12.75" x14ac:dyDescent="0.2">
      <c r="A388" s="782" t="s">
        <v>2089</v>
      </c>
      <c r="B388" s="779">
        <v>2</v>
      </c>
      <c r="C388" s="783">
        <v>2225.4899999999998</v>
      </c>
      <c r="D388" s="780">
        <v>2702.66</v>
      </c>
      <c r="E388" s="12"/>
      <c r="F388" s="12"/>
      <c r="G388" s="12"/>
      <c r="H388" s="12"/>
      <c r="I388" s="12"/>
      <c r="J388" s="12"/>
      <c r="K388" s="781">
        <f t="shared" ref="K388:K417" si="133">+C388+D388+E388+F388+G388+H388+I388+J388</f>
        <v>4928.1499999999996</v>
      </c>
      <c r="L388" s="12"/>
      <c r="M388" s="12"/>
      <c r="N388" s="162"/>
      <c r="O388" s="784">
        <f t="shared" ref="O388:O417" si="134">+(K388*12)+N388</f>
        <v>59137.799999999996</v>
      </c>
      <c r="P388" s="785">
        <f t="shared" ref="P388:P417" si="135">+B388*C388</f>
        <v>4450.9799999999996</v>
      </c>
      <c r="Q388" s="786">
        <v>2</v>
      </c>
      <c r="R388" s="780">
        <v>1734.98</v>
      </c>
      <c r="S388" s="780">
        <v>2702.66</v>
      </c>
      <c r="T388" s="12"/>
      <c r="U388" s="12"/>
      <c r="V388" s="12"/>
      <c r="W388" s="12"/>
      <c r="X388" s="12"/>
      <c r="Y388" s="12"/>
      <c r="Z388" s="780">
        <f t="shared" ref="Z388:Z418" si="136">+R388+S388+T388+U388+V388+W388+X388+Y388</f>
        <v>4437.6399999999994</v>
      </c>
      <c r="AA388" s="780"/>
      <c r="AB388" s="780"/>
      <c r="AC388" s="787"/>
      <c r="AD388" s="784">
        <f t="shared" ref="AD388:AD418" si="137">+(Z388*12)+AC388</f>
        <v>53251.679999999993</v>
      </c>
      <c r="AE388" s="788">
        <f t="shared" ref="AE388:AE418" si="138">+Q388*AD388</f>
        <v>106503.35999999999</v>
      </c>
      <c r="AF388" s="785">
        <f>+C388-R388</f>
        <v>490.50999999999976</v>
      </c>
      <c r="AG388" s="786">
        <f t="shared" ref="AG388:AG418" si="139">+B388-Q388</f>
        <v>0</v>
      </c>
      <c r="AH388" s="788">
        <f t="shared" ref="AH388:AH418" si="140">+B388-Q388</f>
        <v>0</v>
      </c>
      <c r="AI388" s="786">
        <v>1734.98</v>
      </c>
    </row>
    <row r="389" spans="1:35" ht="12.75" x14ac:dyDescent="0.2">
      <c r="A389" s="782" t="s">
        <v>2090</v>
      </c>
      <c r="B389" s="779">
        <v>4</v>
      </c>
      <c r="C389" s="783">
        <v>3049.89</v>
      </c>
      <c r="D389" s="780">
        <v>5939.3499999999995</v>
      </c>
      <c r="E389" s="12"/>
      <c r="F389" s="12"/>
      <c r="G389" s="12"/>
      <c r="H389" s="12"/>
      <c r="I389" s="12"/>
      <c r="J389" s="12"/>
      <c r="K389" s="781">
        <f t="shared" si="133"/>
        <v>8989.24</v>
      </c>
      <c r="L389" s="12"/>
      <c r="M389" s="12"/>
      <c r="N389" s="162"/>
      <c r="O389" s="784">
        <f t="shared" si="134"/>
        <v>107870.88</v>
      </c>
      <c r="P389" s="785">
        <f t="shared" si="135"/>
        <v>12199.56</v>
      </c>
      <c r="Q389" s="786">
        <v>4</v>
      </c>
      <c r="R389" s="780">
        <v>3416</v>
      </c>
      <c r="S389" s="780">
        <v>7005.32</v>
      </c>
      <c r="T389" s="12"/>
      <c r="U389" s="12"/>
      <c r="V389" s="12"/>
      <c r="W389" s="12"/>
      <c r="X389" s="12"/>
      <c r="Y389" s="12"/>
      <c r="Z389" s="780">
        <f t="shared" si="136"/>
        <v>10421.32</v>
      </c>
      <c r="AA389" s="780"/>
      <c r="AB389" s="780"/>
      <c r="AC389" s="787"/>
      <c r="AD389" s="784">
        <f t="shared" si="137"/>
        <v>125055.84</v>
      </c>
      <c r="AE389" s="788">
        <f t="shared" si="138"/>
        <v>500223.36</v>
      </c>
      <c r="AF389" s="785">
        <f t="shared" ref="AF389:AF418" si="141">+C389-R389</f>
        <v>-366.11000000000013</v>
      </c>
      <c r="AG389" s="786">
        <f t="shared" si="139"/>
        <v>0</v>
      </c>
      <c r="AH389" s="788">
        <f t="shared" si="140"/>
        <v>0</v>
      </c>
      <c r="AI389" s="786">
        <v>3416</v>
      </c>
    </row>
    <row r="390" spans="1:35" ht="12.75" x14ac:dyDescent="0.2">
      <c r="A390" s="782" t="s">
        <v>2091</v>
      </c>
      <c r="B390" s="779">
        <v>1</v>
      </c>
      <c r="C390" s="783">
        <v>858.13</v>
      </c>
      <c r="D390" s="780"/>
      <c r="E390" s="12"/>
      <c r="F390" s="12"/>
      <c r="G390" s="12"/>
      <c r="H390" s="12"/>
      <c r="I390" s="12"/>
      <c r="J390" s="12"/>
      <c r="K390" s="781">
        <f t="shared" si="133"/>
        <v>858.13</v>
      </c>
      <c r="L390" s="12"/>
      <c r="M390" s="12"/>
      <c r="N390" s="162"/>
      <c r="O390" s="784">
        <f t="shared" si="134"/>
        <v>10297.56</v>
      </c>
      <c r="P390" s="785">
        <f t="shared" si="135"/>
        <v>858.13</v>
      </c>
      <c r="Q390" s="786">
        <v>1</v>
      </c>
      <c r="R390" s="780">
        <v>930.51</v>
      </c>
      <c r="S390" s="780">
        <v>1251.33</v>
      </c>
      <c r="T390" s="12"/>
      <c r="U390" s="12"/>
      <c r="V390" s="12"/>
      <c r="W390" s="12"/>
      <c r="X390" s="12"/>
      <c r="Y390" s="12"/>
      <c r="Z390" s="780">
        <f t="shared" si="136"/>
        <v>2181.84</v>
      </c>
      <c r="AA390" s="780"/>
      <c r="AB390" s="780"/>
      <c r="AC390" s="787"/>
      <c r="AD390" s="784">
        <f t="shared" si="137"/>
        <v>26182.080000000002</v>
      </c>
      <c r="AE390" s="788">
        <f t="shared" si="138"/>
        <v>26182.080000000002</v>
      </c>
      <c r="AF390" s="785">
        <f t="shared" si="141"/>
        <v>-72.38</v>
      </c>
      <c r="AG390" s="786">
        <f t="shared" si="139"/>
        <v>0</v>
      </c>
      <c r="AH390" s="788">
        <f t="shared" si="140"/>
        <v>0</v>
      </c>
      <c r="AI390" s="786">
        <v>930.51</v>
      </c>
    </row>
    <row r="391" spans="1:35" ht="12.75" x14ac:dyDescent="0.2">
      <c r="A391" s="782" t="s">
        <v>2092</v>
      </c>
      <c r="B391" s="779">
        <v>6</v>
      </c>
      <c r="C391" s="783">
        <v>4900.53</v>
      </c>
      <c r="D391" s="780">
        <v>11346.44</v>
      </c>
      <c r="E391" s="12"/>
      <c r="F391" s="12"/>
      <c r="G391" s="12"/>
      <c r="H391" s="12"/>
      <c r="I391" s="12"/>
      <c r="J391" s="12"/>
      <c r="K391" s="781">
        <f t="shared" si="133"/>
        <v>16246.970000000001</v>
      </c>
      <c r="L391" s="12"/>
      <c r="M391" s="12"/>
      <c r="N391" s="162"/>
      <c r="O391" s="784">
        <f t="shared" si="134"/>
        <v>194963.64</v>
      </c>
      <c r="P391" s="785">
        <f t="shared" si="135"/>
        <v>29403.18</v>
      </c>
      <c r="Q391" s="786">
        <v>6</v>
      </c>
      <c r="R391" s="780">
        <v>5528.14</v>
      </c>
      <c r="S391" s="780">
        <v>10507.98</v>
      </c>
      <c r="T391" s="12"/>
      <c r="U391" s="12"/>
      <c r="V391" s="12"/>
      <c r="W391" s="12"/>
      <c r="X391" s="12"/>
      <c r="Y391" s="12"/>
      <c r="Z391" s="780">
        <f t="shared" si="136"/>
        <v>16036.119999999999</v>
      </c>
      <c r="AA391" s="780"/>
      <c r="AB391" s="780"/>
      <c r="AC391" s="787"/>
      <c r="AD391" s="784">
        <f t="shared" si="137"/>
        <v>192433.44</v>
      </c>
      <c r="AE391" s="788">
        <f t="shared" si="138"/>
        <v>1154600.6400000001</v>
      </c>
      <c r="AF391" s="785">
        <f t="shared" si="141"/>
        <v>-627.61000000000058</v>
      </c>
      <c r="AG391" s="786">
        <f t="shared" si="139"/>
        <v>0</v>
      </c>
      <c r="AH391" s="788">
        <f t="shared" si="140"/>
        <v>0</v>
      </c>
      <c r="AI391" s="786">
        <v>5528.14</v>
      </c>
    </row>
    <row r="392" spans="1:35" ht="12.75" x14ac:dyDescent="0.2">
      <c r="A392" s="782" t="s">
        <v>2093</v>
      </c>
      <c r="B392" s="779">
        <v>2</v>
      </c>
      <c r="C392" s="783">
        <v>3084.43</v>
      </c>
      <c r="D392" s="780"/>
      <c r="E392" s="12"/>
      <c r="F392" s="12"/>
      <c r="G392" s="12"/>
      <c r="H392" s="12"/>
      <c r="I392" s="12"/>
      <c r="J392" s="12"/>
      <c r="K392" s="781">
        <f t="shared" si="133"/>
        <v>3084.43</v>
      </c>
      <c r="L392" s="12"/>
      <c r="M392" s="12"/>
      <c r="N392" s="162"/>
      <c r="O392" s="784">
        <f t="shared" si="134"/>
        <v>37013.159999999996</v>
      </c>
      <c r="P392" s="785">
        <f t="shared" si="135"/>
        <v>6168.86</v>
      </c>
      <c r="Q392" s="786">
        <v>1</v>
      </c>
      <c r="R392" s="780">
        <v>2538</v>
      </c>
      <c r="S392" s="780"/>
      <c r="T392" s="12"/>
      <c r="U392" s="12"/>
      <c r="V392" s="12"/>
      <c r="W392" s="12"/>
      <c r="X392" s="12"/>
      <c r="Y392" s="12"/>
      <c r="Z392" s="780">
        <f t="shared" si="136"/>
        <v>2538</v>
      </c>
      <c r="AA392" s="780"/>
      <c r="AB392" s="780"/>
      <c r="AC392" s="787"/>
      <c r="AD392" s="784">
        <f t="shared" si="137"/>
        <v>30456</v>
      </c>
      <c r="AE392" s="788">
        <f t="shared" si="138"/>
        <v>30456</v>
      </c>
      <c r="AF392" s="785">
        <f t="shared" si="141"/>
        <v>546.42999999999984</v>
      </c>
      <c r="AG392" s="786">
        <f t="shared" si="139"/>
        <v>1</v>
      </c>
      <c r="AH392" s="788">
        <f t="shared" si="140"/>
        <v>1</v>
      </c>
      <c r="AI392" s="786">
        <v>2538</v>
      </c>
    </row>
    <row r="393" spans="1:35" ht="12.75" x14ac:dyDescent="0.2">
      <c r="A393" s="782" t="s">
        <v>2094</v>
      </c>
      <c r="B393" s="779">
        <v>1</v>
      </c>
      <c r="C393" s="783">
        <v>869.85</v>
      </c>
      <c r="D393" s="780">
        <v>2651.33</v>
      </c>
      <c r="E393" s="12"/>
      <c r="F393" s="12"/>
      <c r="G393" s="12"/>
      <c r="H393" s="12"/>
      <c r="I393" s="12"/>
      <c r="J393" s="12"/>
      <c r="K393" s="781">
        <f t="shared" si="133"/>
        <v>3521.18</v>
      </c>
      <c r="L393" s="12"/>
      <c r="M393" s="12"/>
      <c r="N393" s="162"/>
      <c r="O393" s="784">
        <f t="shared" si="134"/>
        <v>42254.159999999996</v>
      </c>
      <c r="P393" s="785">
        <f t="shared" si="135"/>
        <v>869.85</v>
      </c>
      <c r="Q393" s="786">
        <v>1</v>
      </c>
      <c r="R393" s="780">
        <v>955.41</v>
      </c>
      <c r="S393" s="780">
        <v>2651.33</v>
      </c>
      <c r="T393" s="12"/>
      <c r="U393" s="12"/>
      <c r="V393" s="12"/>
      <c r="W393" s="12"/>
      <c r="X393" s="12"/>
      <c r="Y393" s="12"/>
      <c r="Z393" s="780">
        <f t="shared" si="136"/>
        <v>3606.74</v>
      </c>
      <c r="AA393" s="780"/>
      <c r="AB393" s="780"/>
      <c r="AC393" s="787"/>
      <c r="AD393" s="784">
        <f t="shared" si="137"/>
        <v>43280.88</v>
      </c>
      <c r="AE393" s="788">
        <f t="shared" si="138"/>
        <v>43280.88</v>
      </c>
      <c r="AF393" s="785">
        <f t="shared" si="141"/>
        <v>-85.559999999999945</v>
      </c>
      <c r="AG393" s="786">
        <f t="shared" si="139"/>
        <v>0</v>
      </c>
      <c r="AH393" s="788">
        <f t="shared" si="140"/>
        <v>0</v>
      </c>
      <c r="AI393" s="786">
        <v>955.41</v>
      </c>
    </row>
    <row r="394" spans="1:35" ht="12.75" x14ac:dyDescent="0.2">
      <c r="A394" s="782" t="s">
        <v>2095</v>
      </c>
      <c r="B394" s="779">
        <v>1</v>
      </c>
      <c r="C394" s="783">
        <v>801.87</v>
      </c>
      <c r="D394" s="780">
        <v>1194.45</v>
      </c>
      <c r="E394" s="12"/>
      <c r="F394" s="12"/>
      <c r="G394" s="12"/>
      <c r="H394" s="12"/>
      <c r="I394" s="12"/>
      <c r="J394" s="12"/>
      <c r="K394" s="781">
        <f t="shared" si="133"/>
        <v>1996.3200000000002</v>
      </c>
      <c r="L394" s="12"/>
      <c r="M394" s="12"/>
      <c r="N394" s="162"/>
      <c r="O394" s="784">
        <f t="shared" si="134"/>
        <v>23955.840000000004</v>
      </c>
      <c r="P394" s="785">
        <f t="shared" si="135"/>
        <v>801.87</v>
      </c>
      <c r="Q394" s="786">
        <v>1</v>
      </c>
      <c r="R394" s="780">
        <v>907.46</v>
      </c>
      <c r="S394" s="780">
        <v>1251.33</v>
      </c>
      <c r="T394" s="12"/>
      <c r="U394" s="12"/>
      <c r="V394" s="12"/>
      <c r="W394" s="12"/>
      <c r="X394" s="12"/>
      <c r="Y394" s="12"/>
      <c r="Z394" s="780">
        <f t="shared" si="136"/>
        <v>2158.79</v>
      </c>
      <c r="AA394" s="780"/>
      <c r="AB394" s="780"/>
      <c r="AC394" s="787"/>
      <c r="AD394" s="784">
        <f t="shared" si="137"/>
        <v>25905.48</v>
      </c>
      <c r="AE394" s="788">
        <f t="shared" si="138"/>
        <v>25905.48</v>
      </c>
      <c r="AF394" s="785">
        <f t="shared" si="141"/>
        <v>-105.59000000000003</v>
      </c>
      <c r="AG394" s="786">
        <f t="shared" si="139"/>
        <v>0</v>
      </c>
      <c r="AH394" s="788">
        <f t="shared" si="140"/>
        <v>0</v>
      </c>
      <c r="AI394" s="786">
        <v>907.46</v>
      </c>
    </row>
    <row r="395" spans="1:35" ht="12.75" x14ac:dyDescent="0.2">
      <c r="A395" s="782" t="s">
        <v>2096</v>
      </c>
      <c r="B395" s="779">
        <v>6</v>
      </c>
      <c r="C395" s="783">
        <v>6473.1100000000006</v>
      </c>
      <c r="D395" s="780">
        <v>6286.0099999999993</v>
      </c>
      <c r="E395" s="12"/>
      <c r="F395" s="12"/>
      <c r="G395" s="12"/>
      <c r="H395" s="12"/>
      <c r="I395" s="12"/>
      <c r="J395" s="12"/>
      <c r="K395" s="781">
        <f t="shared" si="133"/>
        <v>12759.119999999999</v>
      </c>
      <c r="L395" s="12"/>
      <c r="M395" s="12"/>
      <c r="N395" s="162"/>
      <c r="O395" s="784">
        <f t="shared" si="134"/>
        <v>153109.44</v>
      </c>
      <c r="P395" s="785">
        <f t="shared" si="135"/>
        <v>38838.660000000003</v>
      </c>
      <c r="Q395" s="786">
        <v>6</v>
      </c>
      <c r="R395" s="780">
        <v>4971.6599999999989</v>
      </c>
      <c r="S395" s="780">
        <v>7707.98</v>
      </c>
      <c r="T395" s="12"/>
      <c r="U395" s="12"/>
      <c r="V395" s="12"/>
      <c r="W395" s="12"/>
      <c r="X395" s="12"/>
      <c r="Y395" s="12"/>
      <c r="Z395" s="780">
        <f t="shared" si="136"/>
        <v>12679.64</v>
      </c>
      <c r="AA395" s="780"/>
      <c r="AB395" s="780"/>
      <c r="AC395" s="787"/>
      <c r="AD395" s="784">
        <f t="shared" si="137"/>
        <v>152155.68</v>
      </c>
      <c r="AE395" s="788">
        <f t="shared" si="138"/>
        <v>912934.08</v>
      </c>
      <c r="AF395" s="785">
        <f t="shared" si="141"/>
        <v>1501.4500000000016</v>
      </c>
      <c r="AG395" s="786">
        <f t="shared" si="139"/>
        <v>0</v>
      </c>
      <c r="AH395" s="788">
        <f t="shared" si="140"/>
        <v>0</v>
      </c>
      <c r="AI395" s="786">
        <v>4971.6599999999989</v>
      </c>
    </row>
    <row r="396" spans="1:35" ht="12.75" x14ac:dyDescent="0.2">
      <c r="A396" s="782" t="s">
        <v>2097</v>
      </c>
      <c r="B396" s="779">
        <v>5</v>
      </c>
      <c r="C396" s="783">
        <v>3776.05</v>
      </c>
      <c r="D396" s="780">
        <v>6599.7699999999995</v>
      </c>
      <c r="E396" s="12"/>
      <c r="F396" s="12"/>
      <c r="G396" s="12"/>
      <c r="H396" s="12"/>
      <c r="I396" s="12"/>
      <c r="J396" s="12"/>
      <c r="K396" s="781">
        <f t="shared" si="133"/>
        <v>10375.82</v>
      </c>
      <c r="L396" s="12"/>
      <c r="M396" s="12"/>
      <c r="N396" s="162"/>
      <c r="O396" s="784">
        <f t="shared" si="134"/>
        <v>124509.84</v>
      </c>
      <c r="P396" s="785">
        <f t="shared" si="135"/>
        <v>18880.25</v>
      </c>
      <c r="Q396" s="786">
        <v>5</v>
      </c>
      <c r="R396" s="780">
        <v>4065.25</v>
      </c>
      <c r="S396" s="780">
        <v>6856.65</v>
      </c>
      <c r="T396" s="12"/>
      <c r="U396" s="12"/>
      <c r="V396" s="12"/>
      <c r="W396" s="12"/>
      <c r="X396" s="12"/>
      <c r="Y396" s="12"/>
      <c r="Z396" s="780">
        <f t="shared" si="136"/>
        <v>10921.9</v>
      </c>
      <c r="AA396" s="780"/>
      <c r="AB396" s="780"/>
      <c r="AC396" s="787"/>
      <c r="AD396" s="784">
        <f t="shared" si="137"/>
        <v>131062.79999999999</v>
      </c>
      <c r="AE396" s="788">
        <f t="shared" si="138"/>
        <v>655314</v>
      </c>
      <c r="AF396" s="785">
        <f t="shared" si="141"/>
        <v>-289.19999999999982</v>
      </c>
      <c r="AG396" s="786">
        <f t="shared" si="139"/>
        <v>0</v>
      </c>
      <c r="AH396" s="788">
        <f t="shared" si="140"/>
        <v>0</v>
      </c>
      <c r="AI396" s="786">
        <v>4065.25</v>
      </c>
    </row>
    <row r="397" spans="1:35" ht="12.75" x14ac:dyDescent="0.2">
      <c r="A397" s="782" t="s">
        <v>2098</v>
      </c>
      <c r="B397" s="779">
        <v>4</v>
      </c>
      <c r="C397" s="783">
        <v>2834.9300000000003</v>
      </c>
      <c r="D397" s="780">
        <v>5405.32</v>
      </c>
      <c r="E397" s="12"/>
      <c r="F397" s="12"/>
      <c r="G397" s="12"/>
      <c r="H397" s="12"/>
      <c r="I397" s="12"/>
      <c r="J397" s="12"/>
      <c r="K397" s="781">
        <f t="shared" si="133"/>
        <v>8240.25</v>
      </c>
      <c r="L397" s="12"/>
      <c r="M397" s="12"/>
      <c r="N397" s="162"/>
      <c r="O397" s="784">
        <f t="shared" si="134"/>
        <v>98883</v>
      </c>
      <c r="P397" s="785">
        <f t="shared" si="135"/>
        <v>11339.720000000001</v>
      </c>
      <c r="Q397" s="786">
        <v>4</v>
      </c>
      <c r="R397" s="780">
        <v>3314.4399999999996</v>
      </c>
      <c r="S397" s="780">
        <v>5205.32</v>
      </c>
      <c r="T397" s="12"/>
      <c r="U397" s="12"/>
      <c r="V397" s="12"/>
      <c r="W397" s="12"/>
      <c r="X397" s="12"/>
      <c r="Y397" s="12"/>
      <c r="Z397" s="780">
        <f t="shared" si="136"/>
        <v>8519.7599999999984</v>
      </c>
      <c r="AA397" s="780"/>
      <c r="AB397" s="780"/>
      <c r="AC397" s="787"/>
      <c r="AD397" s="784">
        <f t="shared" si="137"/>
        <v>102237.11999999998</v>
      </c>
      <c r="AE397" s="788">
        <f t="shared" si="138"/>
        <v>408948.47999999992</v>
      </c>
      <c r="AF397" s="785">
        <f t="shared" si="141"/>
        <v>-479.50999999999931</v>
      </c>
      <c r="AG397" s="786">
        <f t="shared" si="139"/>
        <v>0</v>
      </c>
      <c r="AH397" s="788">
        <f t="shared" si="140"/>
        <v>0</v>
      </c>
      <c r="AI397" s="786">
        <v>3314.4399999999996</v>
      </c>
    </row>
    <row r="398" spans="1:35" ht="12.75" x14ac:dyDescent="0.2">
      <c r="A398" s="782" t="s">
        <v>2099</v>
      </c>
      <c r="B398" s="779">
        <v>3</v>
      </c>
      <c r="C398" s="783">
        <v>2097.29</v>
      </c>
      <c r="D398" s="780">
        <v>3831.1399999999994</v>
      </c>
      <c r="E398" s="12"/>
      <c r="F398" s="12"/>
      <c r="G398" s="12"/>
      <c r="H398" s="12"/>
      <c r="I398" s="12"/>
      <c r="J398" s="12"/>
      <c r="K398" s="781">
        <f t="shared" si="133"/>
        <v>5928.4299999999994</v>
      </c>
      <c r="L398" s="12"/>
      <c r="M398" s="12"/>
      <c r="N398" s="162"/>
      <c r="O398" s="784">
        <f t="shared" si="134"/>
        <v>71141.159999999989</v>
      </c>
      <c r="P398" s="785">
        <f t="shared" si="135"/>
        <v>6291.87</v>
      </c>
      <c r="Q398" s="786">
        <v>3</v>
      </c>
      <c r="R398" s="780">
        <v>2454.71</v>
      </c>
      <c r="S398" s="780">
        <v>3953.99</v>
      </c>
      <c r="T398" s="12"/>
      <c r="U398" s="12"/>
      <c r="V398" s="12"/>
      <c r="W398" s="12"/>
      <c r="X398" s="12"/>
      <c r="Y398" s="12"/>
      <c r="Z398" s="780">
        <f t="shared" si="136"/>
        <v>6408.7</v>
      </c>
      <c r="AA398" s="780"/>
      <c r="AB398" s="780"/>
      <c r="AC398" s="787"/>
      <c r="AD398" s="784">
        <f t="shared" si="137"/>
        <v>76904.399999999994</v>
      </c>
      <c r="AE398" s="788">
        <f t="shared" si="138"/>
        <v>230713.19999999998</v>
      </c>
      <c r="AF398" s="785">
        <f t="shared" si="141"/>
        <v>-357.42000000000007</v>
      </c>
      <c r="AG398" s="786">
        <f t="shared" si="139"/>
        <v>0</v>
      </c>
      <c r="AH398" s="788">
        <f t="shared" si="140"/>
        <v>0</v>
      </c>
      <c r="AI398" s="786">
        <v>2454.71</v>
      </c>
    </row>
    <row r="399" spans="1:35" ht="12.75" x14ac:dyDescent="0.2">
      <c r="A399" s="782" t="s">
        <v>2100</v>
      </c>
      <c r="B399" s="779">
        <v>2</v>
      </c>
      <c r="C399" s="783">
        <v>1352.78</v>
      </c>
      <c r="D399" s="780">
        <v>2502.66</v>
      </c>
      <c r="E399" s="12"/>
      <c r="F399" s="12"/>
      <c r="G399" s="12"/>
      <c r="H399" s="12"/>
      <c r="I399" s="12"/>
      <c r="J399" s="12"/>
      <c r="K399" s="781">
        <f t="shared" si="133"/>
        <v>3855.4399999999996</v>
      </c>
      <c r="L399" s="12"/>
      <c r="M399" s="12"/>
      <c r="N399" s="162"/>
      <c r="O399" s="784">
        <f t="shared" si="134"/>
        <v>46265.279999999999</v>
      </c>
      <c r="P399" s="785">
        <f t="shared" si="135"/>
        <v>2705.56</v>
      </c>
      <c r="Q399" s="786">
        <v>1</v>
      </c>
      <c r="R399" s="780">
        <v>797.51</v>
      </c>
      <c r="S399" s="780">
        <v>1251.33</v>
      </c>
      <c r="T399" s="12"/>
      <c r="U399" s="12"/>
      <c r="V399" s="12"/>
      <c r="W399" s="12"/>
      <c r="X399" s="12"/>
      <c r="Y399" s="12"/>
      <c r="Z399" s="780">
        <f t="shared" si="136"/>
        <v>2048.84</v>
      </c>
      <c r="AA399" s="780"/>
      <c r="AB399" s="780"/>
      <c r="AC399" s="787"/>
      <c r="AD399" s="784">
        <f t="shared" si="137"/>
        <v>24586.080000000002</v>
      </c>
      <c r="AE399" s="788">
        <f t="shared" si="138"/>
        <v>24586.080000000002</v>
      </c>
      <c r="AF399" s="785">
        <f t="shared" si="141"/>
        <v>555.27</v>
      </c>
      <c r="AG399" s="786">
        <f t="shared" si="139"/>
        <v>1</v>
      </c>
      <c r="AH399" s="788">
        <f t="shared" si="140"/>
        <v>1</v>
      </c>
      <c r="AI399" s="786">
        <v>797.51</v>
      </c>
    </row>
    <row r="400" spans="1:35" ht="12.75" x14ac:dyDescent="0.2">
      <c r="A400" s="782" t="s">
        <v>2101</v>
      </c>
      <c r="B400" s="779">
        <v>1</v>
      </c>
      <c r="C400" s="783">
        <v>879.2700000000001</v>
      </c>
      <c r="D400" s="780">
        <v>1451.33</v>
      </c>
      <c r="E400" s="12"/>
      <c r="F400" s="12"/>
      <c r="G400" s="12"/>
      <c r="H400" s="12"/>
      <c r="I400" s="12"/>
      <c r="J400" s="12"/>
      <c r="K400" s="781">
        <f t="shared" si="133"/>
        <v>2330.6</v>
      </c>
      <c r="L400" s="12"/>
      <c r="M400" s="12"/>
      <c r="N400" s="162"/>
      <c r="O400" s="784">
        <f t="shared" si="134"/>
        <v>27967.199999999997</v>
      </c>
      <c r="P400" s="785">
        <f t="shared" si="135"/>
        <v>879.2700000000001</v>
      </c>
      <c r="Q400" s="786"/>
      <c r="R400" s="780"/>
      <c r="S400" s="780"/>
      <c r="T400" s="12"/>
      <c r="U400" s="12"/>
      <c r="V400" s="12"/>
      <c r="W400" s="12"/>
      <c r="X400" s="12"/>
      <c r="Y400" s="12"/>
      <c r="Z400" s="780">
        <f t="shared" si="136"/>
        <v>0</v>
      </c>
      <c r="AA400" s="780"/>
      <c r="AB400" s="780"/>
      <c r="AC400" s="787"/>
      <c r="AD400" s="784">
        <f t="shared" si="137"/>
        <v>0</v>
      </c>
      <c r="AE400" s="788">
        <f t="shared" si="138"/>
        <v>0</v>
      </c>
      <c r="AF400" s="785">
        <f t="shared" si="141"/>
        <v>879.2700000000001</v>
      </c>
      <c r="AG400" s="786">
        <f t="shared" si="139"/>
        <v>1</v>
      </c>
      <c r="AH400" s="788">
        <f t="shared" si="140"/>
        <v>1</v>
      </c>
      <c r="AI400" s="786"/>
    </row>
    <row r="401" spans="1:35" ht="12.75" x14ac:dyDescent="0.2">
      <c r="A401" s="782" t="s">
        <v>2102</v>
      </c>
      <c r="B401" s="779">
        <v>2</v>
      </c>
      <c r="C401" s="783">
        <v>1987.31</v>
      </c>
      <c r="D401" s="780">
        <v>2445.7799999999997</v>
      </c>
      <c r="E401" s="12"/>
      <c r="F401" s="12"/>
      <c r="G401" s="12"/>
      <c r="H401" s="12"/>
      <c r="I401" s="12"/>
      <c r="J401" s="12"/>
      <c r="K401" s="781">
        <f t="shared" si="133"/>
        <v>4433.09</v>
      </c>
      <c r="L401" s="12"/>
      <c r="M401" s="12"/>
      <c r="N401" s="162"/>
      <c r="O401" s="784">
        <f t="shared" si="134"/>
        <v>53197.08</v>
      </c>
      <c r="P401" s="785">
        <f t="shared" si="135"/>
        <v>3974.62</v>
      </c>
      <c r="Q401" s="786">
        <v>2</v>
      </c>
      <c r="R401" s="780">
        <v>1708</v>
      </c>
      <c r="S401" s="780">
        <v>2502.66</v>
      </c>
      <c r="T401" s="12"/>
      <c r="U401" s="12"/>
      <c r="V401" s="12"/>
      <c r="W401" s="12"/>
      <c r="X401" s="12"/>
      <c r="Y401" s="12"/>
      <c r="Z401" s="780">
        <f t="shared" si="136"/>
        <v>4210.66</v>
      </c>
      <c r="AA401" s="780"/>
      <c r="AB401" s="780"/>
      <c r="AC401" s="787"/>
      <c r="AD401" s="784">
        <f t="shared" si="137"/>
        <v>50527.92</v>
      </c>
      <c r="AE401" s="788">
        <f t="shared" si="138"/>
        <v>101055.84</v>
      </c>
      <c r="AF401" s="785">
        <f t="shared" si="141"/>
        <v>279.30999999999995</v>
      </c>
      <c r="AG401" s="786">
        <f t="shared" si="139"/>
        <v>0</v>
      </c>
      <c r="AH401" s="788">
        <f t="shared" si="140"/>
        <v>0</v>
      </c>
      <c r="AI401" s="786">
        <v>1708</v>
      </c>
    </row>
    <row r="402" spans="1:35" ht="12.75" x14ac:dyDescent="0.2">
      <c r="A402" s="782" t="s">
        <v>2103</v>
      </c>
      <c r="B402" s="779">
        <v>1</v>
      </c>
      <c r="C402" s="783">
        <v>1155.92</v>
      </c>
      <c r="D402" s="780">
        <v>1251.33</v>
      </c>
      <c r="E402" s="12"/>
      <c r="F402" s="12"/>
      <c r="G402" s="12"/>
      <c r="H402" s="12"/>
      <c r="I402" s="12"/>
      <c r="J402" s="12"/>
      <c r="K402" s="781">
        <f t="shared" si="133"/>
        <v>2407.25</v>
      </c>
      <c r="L402" s="12"/>
      <c r="M402" s="12"/>
      <c r="N402" s="162"/>
      <c r="O402" s="784">
        <f t="shared" si="134"/>
        <v>28887</v>
      </c>
      <c r="P402" s="785">
        <f t="shared" si="135"/>
        <v>1155.92</v>
      </c>
      <c r="Q402" s="786">
        <v>1</v>
      </c>
      <c r="R402" s="780">
        <v>853</v>
      </c>
      <c r="S402" s="780">
        <v>1251.33</v>
      </c>
      <c r="T402" s="12"/>
      <c r="U402" s="12"/>
      <c r="V402" s="12"/>
      <c r="W402" s="12"/>
      <c r="X402" s="12"/>
      <c r="Y402" s="12"/>
      <c r="Z402" s="780">
        <f t="shared" si="136"/>
        <v>2104.33</v>
      </c>
      <c r="AA402" s="780"/>
      <c r="AB402" s="780"/>
      <c r="AC402" s="787"/>
      <c r="AD402" s="784">
        <f t="shared" si="137"/>
        <v>25251.96</v>
      </c>
      <c r="AE402" s="788">
        <f t="shared" si="138"/>
        <v>25251.96</v>
      </c>
      <c r="AF402" s="785">
        <f t="shared" si="141"/>
        <v>302.92000000000007</v>
      </c>
      <c r="AG402" s="786">
        <f t="shared" si="139"/>
        <v>0</v>
      </c>
      <c r="AH402" s="788">
        <f t="shared" si="140"/>
        <v>0</v>
      </c>
      <c r="AI402" s="786">
        <v>853</v>
      </c>
    </row>
    <row r="403" spans="1:35" ht="12.75" x14ac:dyDescent="0.2">
      <c r="A403" s="782" t="s">
        <v>2104</v>
      </c>
      <c r="B403" s="779">
        <v>1</v>
      </c>
      <c r="C403" s="783">
        <v>779.15</v>
      </c>
      <c r="D403" s="780">
        <v>1251.33</v>
      </c>
      <c r="E403" s="12"/>
      <c r="F403" s="12"/>
      <c r="G403" s="12"/>
      <c r="H403" s="12"/>
      <c r="I403" s="12"/>
      <c r="J403" s="12"/>
      <c r="K403" s="781">
        <f t="shared" si="133"/>
        <v>2030.48</v>
      </c>
      <c r="L403" s="12"/>
      <c r="M403" s="12"/>
      <c r="N403" s="162"/>
      <c r="O403" s="784">
        <f t="shared" si="134"/>
        <v>24365.760000000002</v>
      </c>
      <c r="P403" s="785">
        <f t="shared" si="135"/>
        <v>779.15</v>
      </c>
      <c r="Q403" s="786">
        <v>1</v>
      </c>
      <c r="R403" s="780">
        <v>836.39</v>
      </c>
      <c r="S403" s="780">
        <v>1251.33</v>
      </c>
      <c r="T403" s="12"/>
      <c r="U403" s="12"/>
      <c r="V403" s="12"/>
      <c r="W403" s="12"/>
      <c r="X403" s="12"/>
      <c r="Y403" s="12"/>
      <c r="Z403" s="780">
        <f t="shared" si="136"/>
        <v>2087.7199999999998</v>
      </c>
      <c r="AA403" s="780"/>
      <c r="AB403" s="780"/>
      <c r="AC403" s="787"/>
      <c r="AD403" s="784">
        <f t="shared" si="137"/>
        <v>25052.639999999999</v>
      </c>
      <c r="AE403" s="788">
        <f t="shared" si="138"/>
        <v>25052.639999999999</v>
      </c>
      <c r="AF403" s="785">
        <f t="shared" si="141"/>
        <v>-57.240000000000009</v>
      </c>
      <c r="AG403" s="786">
        <f t="shared" si="139"/>
        <v>0</v>
      </c>
      <c r="AH403" s="788">
        <f t="shared" si="140"/>
        <v>0</v>
      </c>
      <c r="AI403" s="786">
        <v>836.39</v>
      </c>
    </row>
    <row r="404" spans="1:35" ht="12.75" x14ac:dyDescent="0.2">
      <c r="A404" s="782" t="s">
        <v>2105</v>
      </c>
      <c r="B404" s="779">
        <v>2</v>
      </c>
      <c r="C404" s="783">
        <v>1733.66</v>
      </c>
      <c r="D404" s="780">
        <v>2051.33</v>
      </c>
      <c r="E404" s="12"/>
      <c r="F404" s="12"/>
      <c r="G404" s="12"/>
      <c r="H404" s="12"/>
      <c r="I404" s="12"/>
      <c r="J404" s="12"/>
      <c r="K404" s="781">
        <f t="shared" si="133"/>
        <v>3784.99</v>
      </c>
      <c r="L404" s="12"/>
      <c r="M404" s="12"/>
      <c r="N404" s="162"/>
      <c r="O404" s="784">
        <f t="shared" si="134"/>
        <v>45419.88</v>
      </c>
      <c r="P404" s="785">
        <f t="shared" si="135"/>
        <v>3467.32</v>
      </c>
      <c r="Q404" s="786">
        <v>2</v>
      </c>
      <c r="R404" s="780">
        <v>1910.82</v>
      </c>
      <c r="S404" s="780">
        <v>1451.33</v>
      </c>
      <c r="T404" s="12"/>
      <c r="U404" s="12"/>
      <c r="V404" s="12"/>
      <c r="W404" s="12"/>
      <c r="X404" s="12"/>
      <c r="Y404" s="12"/>
      <c r="Z404" s="780">
        <f t="shared" si="136"/>
        <v>3362.1499999999996</v>
      </c>
      <c r="AA404" s="780"/>
      <c r="AB404" s="780"/>
      <c r="AC404" s="787"/>
      <c r="AD404" s="784">
        <f t="shared" si="137"/>
        <v>40345.799999999996</v>
      </c>
      <c r="AE404" s="788">
        <f t="shared" si="138"/>
        <v>80691.599999999991</v>
      </c>
      <c r="AF404" s="785">
        <f t="shared" si="141"/>
        <v>-177.15999999999985</v>
      </c>
      <c r="AG404" s="786">
        <f t="shared" si="139"/>
        <v>0</v>
      </c>
      <c r="AH404" s="788">
        <f t="shared" si="140"/>
        <v>0</v>
      </c>
      <c r="AI404" s="786">
        <v>1910.82</v>
      </c>
    </row>
    <row r="405" spans="1:35" ht="12.75" x14ac:dyDescent="0.2">
      <c r="A405" s="782" t="s">
        <v>2106</v>
      </c>
      <c r="B405" s="779">
        <v>1</v>
      </c>
      <c r="C405" s="783">
        <v>1042.3699999999999</v>
      </c>
      <c r="D405" s="780">
        <v>1251.33</v>
      </c>
      <c r="E405" s="12"/>
      <c r="F405" s="12"/>
      <c r="G405" s="12"/>
      <c r="H405" s="12"/>
      <c r="I405" s="12"/>
      <c r="J405" s="12"/>
      <c r="K405" s="781">
        <f t="shared" si="133"/>
        <v>2293.6999999999998</v>
      </c>
      <c r="L405" s="12"/>
      <c r="M405" s="12"/>
      <c r="N405" s="162"/>
      <c r="O405" s="784">
        <f t="shared" si="134"/>
        <v>27524.399999999998</v>
      </c>
      <c r="P405" s="785">
        <f t="shared" si="135"/>
        <v>1042.3699999999999</v>
      </c>
      <c r="Q405" s="786">
        <v>1</v>
      </c>
      <c r="R405" s="780">
        <v>980.47</v>
      </c>
      <c r="S405" s="780">
        <v>1251.33</v>
      </c>
      <c r="T405" s="12"/>
      <c r="U405" s="12"/>
      <c r="V405" s="12"/>
      <c r="W405" s="12"/>
      <c r="X405" s="12"/>
      <c r="Y405" s="12"/>
      <c r="Z405" s="780">
        <f t="shared" si="136"/>
        <v>2231.8000000000002</v>
      </c>
      <c r="AA405" s="780"/>
      <c r="AB405" s="780"/>
      <c r="AC405" s="787"/>
      <c r="AD405" s="784">
        <f t="shared" si="137"/>
        <v>26781.600000000002</v>
      </c>
      <c r="AE405" s="788">
        <f t="shared" si="138"/>
        <v>26781.600000000002</v>
      </c>
      <c r="AF405" s="785">
        <f t="shared" si="141"/>
        <v>61.899999999999864</v>
      </c>
      <c r="AG405" s="786">
        <f t="shared" si="139"/>
        <v>0</v>
      </c>
      <c r="AH405" s="788">
        <f t="shared" si="140"/>
        <v>0</v>
      </c>
      <c r="AI405" s="786">
        <v>980.47</v>
      </c>
    </row>
    <row r="406" spans="1:35" ht="12.75" x14ac:dyDescent="0.2">
      <c r="A406" s="782" t="s">
        <v>2107</v>
      </c>
      <c r="B406" s="779">
        <v>2</v>
      </c>
      <c r="C406" s="783">
        <v>2355.0300000000002</v>
      </c>
      <c r="D406" s="780">
        <v>2502.66</v>
      </c>
      <c r="E406" s="12"/>
      <c r="F406" s="12"/>
      <c r="G406" s="12"/>
      <c r="H406" s="12"/>
      <c r="I406" s="12"/>
      <c r="J406" s="12"/>
      <c r="K406" s="781">
        <f t="shared" si="133"/>
        <v>4857.6900000000005</v>
      </c>
      <c r="L406" s="12"/>
      <c r="M406" s="12"/>
      <c r="N406" s="162"/>
      <c r="O406" s="784">
        <f t="shared" si="134"/>
        <v>58292.280000000006</v>
      </c>
      <c r="P406" s="785">
        <f t="shared" si="135"/>
        <v>4710.0600000000004</v>
      </c>
      <c r="Q406" s="786">
        <v>2</v>
      </c>
      <c r="R406" s="780">
        <v>1626.1</v>
      </c>
      <c r="S406" s="780">
        <v>2502.66</v>
      </c>
      <c r="T406" s="12"/>
      <c r="U406" s="12"/>
      <c r="V406" s="12"/>
      <c r="W406" s="12"/>
      <c r="X406" s="12"/>
      <c r="Y406" s="12"/>
      <c r="Z406" s="780">
        <f t="shared" si="136"/>
        <v>4128.76</v>
      </c>
      <c r="AA406" s="780"/>
      <c r="AB406" s="780"/>
      <c r="AC406" s="787"/>
      <c r="AD406" s="784">
        <f t="shared" si="137"/>
        <v>49545.120000000003</v>
      </c>
      <c r="AE406" s="788">
        <f t="shared" si="138"/>
        <v>99090.240000000005</v>
      </c>
      <c r="AF406" s="785">
        <f t="shared" si="141"/>
        <v>728.93000000000029</v>
      </c>
      <c r="AG406" s="786">
        <f t="shared" si="139"/>
        <v>0</v>
      </c>
      <c r="AH406" s="788">
        <f t="shared" si="140"/>
        <v>0</v>
      </c>
      <c r="AI406" s="786">
        <v>1626.1</v>
      </c>
    </row>
    <row r="407" spans="1:35" ht="12.75" x14ac:dyDescent="0.2">
      <c r="A407" s="782" t="s">
        <v>2108</v>
      </c>
      <c r="B407" s="779">
        <v>7</v>
      </c>
      <c r="C407" s="783">
        <v>4393.7</v>
      </c>
      <c r="D407" s="780">
        <v>7594.2199999999993</v>
      </c>
      <c r="E407" s="12"/>
      <c r="F407" s="12"/>
      <c r="G407" s="12"/>
      <c r="H407" s="12"/>
      <c r="I407" s="12"/>
      <c r="J407" s="12"/>
      <c r="K407" s="781">
        <f t="shared" si="133"/>
        <v>11987.919999999998</v>
      </c>
      <c r="L407" s="12"/>
      <c r="M407" s="12"/>
      <c r="N407" s="162"/>
      <c r="O407" s="784">
        <f t="shared" si="134"/>
        <v>143855.03999999998</v>
      </c>
      <c r="P407" s="785">
        <f t="shared" si="135"/>
        <v>30755.899999999998</v>
      </c>
      <c r="Q407" s="786">
        <v>7</v>
      </c>
      <c r="R407" s="780">
        <v>5971</v>
      </c>
      <c r="S407" s="780">
        <v>6256.65</v>
      </c>
      <c r="T407" s="12"/>
      <c r="U407" s="12"/>
      <c r="V407" s="12"/>
      <c r="W407" s="12"/>
      <c r="X407" s="12"/>
      <c r="Y407" s="12"/>
      <c r="Z407" s="780">
        <f t="shared" si="136"/>
        <v>12227.65</v>
      </c>
      <c r="AA407" s="780"/>
      <c r="AB407" s="780"/>
      <c r="AC407" s="787"/>
      <c r="AD407" s="784">
        <f t="shared" si="137"/>
        <v>146731.79999999999</v>
      </c>
      <c r="AE407" s="788">
        <f t="shared" si="138"/>
        <v>1027122.5999999999</v>
      </c>
      <c r="AF407" s="785">
        <f t="shared" si="141"/>
        <v>-1577.3000000000002</v>
      </c>
      <c r="AG407" s="786">
        <f t="shared" si="139"/>
        <v>0</v>
      </c>
      <c r="AH407" s="788">
        <f t="shared" si="140"/>
        <v>0</v>
      </c>
      <c r="AI407" s="786">
        <v>5971</v>
      </c>
    </row>
    <row r="408" spans="1:35" ht="12.75" x14ac:dyDescent="0.2">
      <c r="A408" s="782" t="s">
        <v>2109</v>
      </c>
      <c r="B408" s="779">
        <v>1</v>
      </c>
      <c r="C408" s="783">
        <v>789.24000000000012</v>
      </c>
      <c r="D408" s="780">
        <v>1080.69</v>
      </c>
      <c r="E408" s="12"/>
      <c r="F408" s="12"/>
      <c r="G408" s="12"/>
      <c r="H408" s="12"/>
      <c r="I408" s="12"/>
      <c r="J408" s="12"/>
      <c r="K408" s="781">
        <f t="shared" si="133"/>
        <v>1869.9300000000003</v>
      </c>
      <c r="L408" s="12"/>
      <c r="M408" s="12"/>
      <c r="N408" s="162"/>
      <c r="O408" s="784">
        <f t="shared" si="134"/>
        <v>22439.160000000003</v>
      </c>
      <c r="P408" s="785">
        <f t="shared" si="135"/>
        <v>789.24000000000012</v>
      </c>
      <c r="Q408" s="786">
        <v>1</v>
      </c>
      <c r="R408" s="780">
        <v>875.25</v>
      </c>
      <c r="S408" s="780">
        <v>1251.33</v>
      </c>
      <c r="T408" s="12"/>
      <c r="U408" s="12"/>
      <c r="V408" s="12"/>
      <c r="W408" s="12"/>
      <c r="X408" s="12"/>
      <c r="Y408" s="12"/>
      <c r="Z408" s="780">
        <f t="shared" si="136"/>
        <v>2126.58</v>
      </c>
      <c r="AA408" s="780"/>
      <c r="AB408" s="780"/>
      <c r="AC408" s="787"/>
      <c r="AD408" s="784">
        <f t="shared" si="137"/>
        <v>25518.959999999999</v>
      </c>
      <c r="AE408" s="788">
        <f t="shared" si="138"/>
        <v>25518.959999999999</v>
      </c>
      <c r="AF408" s="785">
        <f t="shared" si="141"/>
        <v>-86.009999999999877</v>
      </c>
      <c r="AG408" s="786">
        <f t="shared" si="139"/>
        <v>0</v>
      </c>
      <c r="AH408" s="788">
        <f t="shared" si="140"/>
        <v>0</v>
      </c>
      <c r="AI408" s="786">
        <v>875.25</v>
      </c>
    </row>
    <row r="409" spans="1:35" ht="12.75" x14ac:dyDescent="0.2">
      <c r="A409" s="782" t="s">
        <v>2110</v>
      </c>
      <c r="B409" s="779">
        <v>1</v>
      </c>
      <c r="C409" s="783">
        <v>856.42000000000007</v>
      </c>
      <c r="D409" s="780">
        <v>1251.33</v>
      </c>
      <c r="E409" s="12"/>
      <c r="F409" s="12"/>
      <c r="G409" s="12"/>
      <c r="H409" s="12"/>
      <c r="I409" s="12"/>
      <c r="J409" s="12"/>
      <c r="K409" s="781">
        <f t="shared" si="133"/>
        <v>2107.75</v>
      </c>
      <c r="L409" s="12"/>
      <c r="M409" s="12"/>
      <c r="N409" s="162"/>
      <c r="O409" s="784">
        <f t="shared" si="134"/>
        <v>25293</v>
      </c>
      <c r="P409" s="785">
        <f t="shared" si="135"/>
        <v>856.42000000000007</v>
      </c>
      <c r="Q409" s="786">
        <v>1</v>
      </c>
      <c r="R409" s="780">
        <v>867.4899999999999</v>
      </c>
      <c r="S409" s="780">
        <v>1251.33</v>
      </c>
      <c r="T409" s="12"/>
      <c r="U409" s="12"/>
      <c r="V409" s="12"/>
      <c r="W409" s="12"/>
      <c r="X409" s="12"/>
      <c r="Y409" s="12"/>
      <c r="Z409" s="780">
        <f t="shared" si="136"/>
        <v>2118.8199999999997</v>
      </c>
      <c r="AA409" s="780"/>
      <c r="AB409" s="780"/>
      <c r="AC409" s="787"/>
      <c r="AD409" s="784">
        <f t="shared" si="137"/>
        <v>25425.839999999997</v>
      </c>
      <c r="AE409" s="788">
        <f t="shared" si="138"/>
        <v>25425.839999999997</v>
      </c>
      <c r="AF409" s="785">
        <f t="shared" si="141"/>
        <v>-11.069999999999823</v>
      </c>
      <c r="AG409" s="786">
        <f t="shared" si="139"/>
        <v>0</v>
      </c>
      <c r="AH409" s="788">
        <f t="shared" si="140"/>
        <v>0</v>
      </c>
      <c r="AI409" s="786">
        <v>867.4899999999999</v>
      </c>
    </row>
    <row r="410" spans="1:35" ht="12.75" x14ac:dyDescent="0.2">
      <c r="A410" s="782" t="s">
        <v>2111</v>
      </c>
      <c r="B410" s="779">
        <v>1</v>
      </c>
      <c r="C410" s="783">
        <v>1444.9099999999999</v>
      </c>
      <c r="D410" s="780">
        <v>3591.33</v>
      </c>
      <c r="E410" s="12"/>
      <c r="F410" s="12"/>
      <c r="G410" s="12"/>
      <c r="H410" s="12"/>
      <c r="I410" s="12"/>
      <c r="J410" s="12"/>
      <c r="K410" s="781">
        <f t="shared" si="133"/>
        <v>5036.24</v>
      </c>
      <c r="L410" s="12"/>
      <c r="M410" s="12"/>
      <c r="N410" s="162"/>
      <c r="O410" s="784">
        <f t="shared" si="134"/>
        <v>60434.879999999997</v>
      </c>
      <c r="P410" s="785">
        <f t="shared" si="135"/>
        <v>1444.9099999999999</v>
      </c>
      <c r="Q410" s="786"/>
      <c r="R410" s="780"/>
      <c r="S410" s="780"/>
      <c r="T410" s="12"/>
      <c r="U410" s="12"/>
      <c r="V410" s="12"/>
      <c r="W410" s="12"/>
      <c r="X410" s="12"/>
      <c r="Y410" s="12"/>
      <c r="Z410" s="780">
        <f t="shared" si="136"/>
        <v>0</v>
      </c>
      <c r="AA410" s="780"/>
      <c r="AB410" s="780"/>
      <c r="AC410" s="787"/>
      <c r="AD410" s="784">
        <f t="shared" si="137"/>
        <v>0</v>
      </c>
      <c r="AE410" s="788">
        <f t="shared" si="138"/>
        <v>0</v>
      </c>
      <c r="AF410" s="785">
        <f t="shared" si="141"/>
        <v>1444.9099999999999</v>
      </c>
      <c r="AG410" s="786">
        <f t="shared" si="139"/>
        <v>1</v>
      </c>
      <c r="AH410" s="788">
        <f t="shared" si="140"/>
        <v>1</v>
      </c>
      <c r="AI410" s="786"/>
    </row>
    <row r="411" spans="1:35" ht="12.75" x14ac:dyDescent="0.2">
      <c r="A411" s="782" t="s">
        <v>2112</v>
      </c>
      <c r="B411" s="779">
        <v>2</v>
      </c>
      <c r="C411" s="783">
        <v>1701.12</v>
      </c>
      <c r="D411" s="780">
        <v>2502.66</v>
      </c>
      <c r="E411" s="12"/>
      <c r="F411" s="12"/>
      <c r="G411" s="12"/>
      <c r="H411" s="12"/>
      <c r="I411" s="12"/>
      <c r="J411" s="12"/>
      <c r="K411" s="781">
        <f t="shared" si="133"/>
        <v>4203.78</v>
      </c>
      <c r="L411" s="12"/>
      <c r="M411" s="12"/>
      <c r="N411" s="162"/>
      <c r="O411" s="784">
        <f t="shared" si="134"/>
        <v>50445.36</v>
      </c>
      <c r="P411" s="785">
        <f t="shared" si="135"/>
        <v>3402.24</v>
      </c>
      <c r="Q411" s="786">
        <v>2</v>
      </c>
      <c r="R411" s="780">
        <v>1734.98</v>
      </c>
      <c r="S411" s="780">
        <v>2502.66</v>
      </c>
      <c r="T411" s="12"/>
      <c r="U411" s="12"/>
      <c r="V411" s="12"/>
      <c r="W411" s="12"/>
      <c r="X411" s="12"/>
      <c r="Y411" s="12"/>
      <c r="Z411" s="780">
        <f t="shared" si="136"/>
        <v>4237.6399999999994</v>
      </c>
      <c r="AA411" s="780"/>
      <c r="AB411" s="780"/>
      <c r="AC411" s="787"/>
      <c r="AD411" s="784">
        <f t="shared" si="137"/>
        <v>50851.679999999993</v>
      </c>
      <c r="AE411" s="788">
        <f t="shared" si="138"/>
        <v>101703.35999999999</v>
      </c>
      <c r="AF411" s="785">
        <f t="shared" si="141"/>
        <v>-33.860000000000127</v>
      </c>
      <c r="AG411" s="786">
        <f t="shared" si="139"/>
        <v>0</v>
      </c>
      <c r="AH411" s="788">
        <f t="shared" si="140"/>
        <v>0</v>
      </c>
      <c r="AI411" s="786">
        <v>1734.98</v>
      </c>
    </row>
    <row r="412" spans="1:35" ht="12.75" x14ac:dyDescent="0.2">
      <c r="A412" s="782" t="s">
        <v>2113</v>
      </c>
      <c r="B412" s="779">
        <v>1</v>
      </c>
      <c r="C412" s="783">
        <v>808.35</v>
      </c>
      <c r="D412" s="780">
        <v>1194.45</v>
      </c>
      <c r="E412" s="12"/>
      <c r="F412" s="12"/>
      <c r="G412" s="12"/>
      <c r="H412" s="12"/>
      <c r="I412" s="12"/>
      <c r="J412" s="12"/>
      <c r="K412" s="781">
        <f t="shared" si="133"/>
        <v>2002.8000000000002</v>
      </c>
      <c r="L412" s="12"/>
      <c r="M412" s="12"/>
      <c r="N412" s="162"/>
      <c r="O412" s="784">
        <f t="shared" si="134"/>
        <v>24033.600000000002</v>
      </c>
      <c r="P412" s="785">
        <f t="shared" si="135"/>
        <v>808.35</v>
      </c>
      <c r="Q412" s="786">
        <v>1</v>
      </c>
      <c r="R412" s="780">
        <v>1165.3999999999999</v>
      </c>
      <c r="S412" s="780">
        <v>1251.33</v>
      </c>
      <c r="T412" s="12"/>
      <c r="U412" s="12"/>
      <c r="V412" s="12"/>
      <c r="W412" s="12"/>
      <c r="X412" s="12"/>
      <c r="Y412" s="12"/>
      <c r="Z412" s="780">
        <f t="shared" si="136"/>
        <v>2416.7299999999996</v>
      </c>
      <c r="AA412" s="780"/>
      <c r="AB412" s="780"/>
      <c r="AC412" s="787"/>
      <c r="AD412" s="784">
        <f t="shared" si="137"/>
        <v>29000.759999999995</v>
      </c>
      <c r="AE412" s="788">
        <f t="shared" si="138"/>
        <v>29000.759999999995</v>
      </c>
      <c r="AF412" s="785">
        <f t="shared" si="141"/>
        <v>-357.04999999999984</v>
      </c>
      <c r="AG412" s="786">
        <f t="shared" si="139"/>
        <v>0</v>
      </c>
      <c r="AH412" s="788">
        <f t="shared" si="140"/>
        <v>0</v>
      </c>
      <c r="AI412" s="786">
        <v>1165.3999999999999</v>
      </c>
    </row>
    <row r="413" spans="1:35" ht="12.75" x14ac:dyDescent="0.2">
      <c r="A413" s="782" t="s">
        <v>2114</v>
      </c>
      <c r="B413" s="779">
        <v>2</v>
      </c>
      <c r="C413" s="783">
        <v>1550.1000000000001</v>
      </c>
      <c r="D413" s="780">
        <v>2502.66</v>
      </c>
      <c r="E413" s="12"/>
      <c r="F413" s="12"/>
      <c r="G413" s="12"/>
      <c r="H413" s="12"/>
      <c r="I413" s="12"/>
      <c r="J413" s="12"/>
      <c r="K413" s="781">
        <f t="shared" si="133"/>
        <v>4052.76</v>
      </c>
      <c r="L413" s="12"/>
      <c r="M413" s="12"/>
      <c r="N413" s="162"/>
      <c r="O413" s="784">
        <f t="shared" si="134"/>
        <v>48633.120000000003</v>
      </c>
      <c r="P413" s="785">
        <f t="shared" si="135"/>
        <v>3100.2000000000003</v>
      </c>
      <c r="Q413" s="786">
        <v>2</v>
      </c>
      <c r="R413" s="780">
        <v>1734.98</v>
      </c>
      <c r="S413" s="780">
        <v>2502.66</v>
      </c>
      <c r="T413" s="12"/>
      <c r="U413" s="12"/>
      <c r="V413" s="12"/>
      <c r="W413" s="12"/>
      <c r="X413" s="12"/>
      <c r="Y413" s="12"/>
      <c r="Z413" s="780">
        <f t="shared" si="136"/>
        <v>4237.6399999999994</v>
      </c>
      <c r="AA413" s="780"/>
      <c r="AB413" s="780"/>
      <c r="AC413" s="787"/>
      <c r="AD413" s="784">
        <f t="shared" si="137"/>
        <v>50851.679999999993</v>
      </c>
      <c r="AE413" s="788">
        <f t="shared" si="138"/>
        <v>101703.35999999999</v>
      </c>
      <c r="AF413" s="785">
        <f t="shared" si="141"/>
        <v>-184.87999999999988</v>
      </c>
      <c r="AG413" s="786">
        <f t="shared" si="139"/>
        <v>0</v>
      </c>
      <c r="AH413" s="788">
        <f t="shared" si="140"/>
        <v>0</v>
      </c>
      <c r="AI413" s="786">
        <v>1734.98</v>
      </c>
    </row>
    <row r="414" spans="1:35" ht="12.75" x14ac:dyDescent="0.2">
      <c r="A414" s="782" t="s">
        <v>2115</v>
      </c>
      <c r="B414" s="779">
        <v>13</v>
      </c>
      <c r="C414" s="783">
        <v>9384.0700000000015</v>
      </c>
      <c r="D414" s="780">
        <v>13823.88</v>
      </c>
      <c r="E414" s="12"/>
      <c r="F414" s="12"/>
      <c r="G414" s="12"/>
      <c r="H414" s="12"/>
      <c r="I414" s="12"/>
      <c r="J414" s="12"/>
      <c r="K414" s="781">
        <f t="shared" si="133"/>
        <v>23207.95</v>
      </c>
      <c r="L414" s="12"/>
      <c r="M414" s="12"/>
      <c r="N414" s="162"/>
      <c r="O414" s="784">
        <f t="shared" si="134"/>
        <v>278495.40000000002</v>
      </c>
      <c r="P414" s="785">
        <f t="shared" si="135"/>
        <v>121992.91000000002</v>
      </c>
      <c r="Q414" s="786">
        <v>13</v>
      </c>
      <c r="R414" s="780">
        <v>11115</v>
      </c>
      <c r="S414" s="780">
        <v>13764.63</v>
      </c>
      <c r="T414" s="12"/>
      <c r="U414" s="12"/>
      <c r="V414" s="12"/>
      <c r="W414" s="12"/>
      <c r="X414" s="12"/>
      <c r="Y414" s="12"/>
      <c r="Z414" s="780">
        <f t="shared" si="136"/>
        <v>24879.629999999997</v>
      </c>
      <c r="AA414" s="780"/>
      <c r="AB414" s="780"/>
      <c r="AC414" s="787"/>
      <c r="AD414" s="784">
        <f t="shared" si="137"/>
        <v>298555.55999999994</v>
      </c>
      <c r="AE414" s="788">
        <f t="shared" si="138"/>
        <v>3881222.2799999993</v>
      </c>
      <c r="AF414" s="785">
        <f t="shared" si="141"/>
        <v>-1730.9299999999985</v>
      </c>
      <c r="AG414" s="786">
        <f t="shared" si="139"/>
        <v>0</v>
      </c>
      <c r="AH414" s="788">
        <f t="shared" si="140"/>
        <v>0</v>
      </c>
      <c r="AI414" s="786">
        <v>11115</v>
      </c>
    </row>
    <row r="415" spans="1:35" ht="12.75" x14ac:dyDescent="0.2">
      <c r="A415" s="782" t="s">
        <v>2116</v>
      </c>
      <c r="B415" s="779">
        <v>2</v>
      </c>
      <c r="C415" s="783">
        <v>1402.2</v>
      </c>
      <c r="D415" s="780">
        <v>3302.66</v>
      </c>
      <c r="E415" s="12"/>
      <c r="F415" s="12"/>
      <c r="G415" s="12"/>
      <c r="H415" s="12"/>
      <c r="I415" s="12"/>
      <c r="J415" s="12"/>
      <c r="K415" s="781">
        <f t="shared" si="133"/>
        <v>4704.8599999999997</v>
      </c>
      <c r="L415" s="12"/>
      <c r="M415" s="12"/>
      <c r="N415" s="162"/>
      <c r="O415" s="784">
        <f t="shared" si="134"/>
        <v>56458.319999999992</v>
      </c>
      <c r="P415" s="785">
        <f t="shared" si="135"/>
        <v>2804.4</v>
      </c>
      <c r="Q415" s="786">
        <v>1</v>
      </c>
      <c r="R415" s="780">
        <v>853</v>
      </c>
      <c r="S415" s="780">
        <v>1251.33</v>
      </c>
      <c r="T415" s="12"/>
      <c r="U415" s="12"/>
      <c r="V415" s="12"/>
      <c r="W415" s="12"/>
      <c r="X415" s="12"/>
      <c r="Y415" s="12"/>
      <c r="Z415" s="780">
        <f t="shared" si="136"/>
        <v>2104.33</v>
      </c>
      <c r="AA415" s="780"/>
      <c r="AB415" s="780"/>
      <c r="AC415" s="787"/>
      <c r="AD415" s="784">
        <f t="shared" si="137"/>
        <v>25251.96</v>
      </c>
      <c r="AE415" s="788">
        <f t="shared" si="138"/>
        <v>25251.96</v>
      </c>
      <c r="AF415" s="785">
        <f t="shared" si="141"/>
        <v>549.20000000000005</v>
      </c>
      <c r="AG415" s="786">
        <f t="shared" si="139"/>
        <v>1</v>
      </c>
      <c r="AH415" s="788">
        <f t="shared" si="140"/>
        <v>1</v>
      </c>
      <c r="AI415" s="786">
        <v>853</v>
      </c>
    </row>
    <row r="416" spans="1:35" ht="12.75" x14ac:dyDescent="0.2">
      <c r="A416" s="782" t="s">
        <v>2117</v>
      </c>
      <c r="B416" s="779">
        <v>1</v>
      </c>
      <c r="C416" s="783">
        <v>898.28000000000009</v>
      </c>
      <c r="D416" s="780">
        <v>1194.45</v>
      </c>
      <c r="E416" s="12"/>
      <c r="F416" s="12"/>
      <c r="G416" s="12"/>
      <c r="H416" s="12"/>
      <c r="I416" s="12"/>
      <c r="J416" s="12"/>
      <c r="K416" s="781">
        <f t="shared" si="133"/>
        <v>2092.73</v>
      </c>
      <c r="L416" s="12"/>
      <c r="M416" s="12"/>
      <c r="N416" s="162"/>
      <c r="O416" s="784">
        <f t="shared" si="134"/>
        <v>25112.760000000002</v>
      </c>
      <c r="P416" s="785">
        <f t="shared" si="135"/>
        <v>898.28000000000009</v>
      </c>
      <c r="Q416" s="786">
        <v>1</v>
      </c>
      <c r="R416" s="780">
        <v>898.28</v>
      </c>
      <c r="S416" s="780">
        <v>1251.33</v>
      </c>
      <c r="T416" s="12"/>
      <c r="U416" s="12"/>
      <c r="V416" s="12"/>
      <c r="W416" s="12"/>
      <c r="X416" s="12"/>
      <c r="Y416" s="12"/>
      <c r="Z416" s="780">
        <f t="shared" si="136"/>
        <v>2149.6099999999997</v>
      </c>
      <c r="AA416" s="780"/>
      <c r="AB416" s="780"/>
      <c r="AC416" s="787"/>
      <c r="AD416" s="784">
        <f t="shared" si="137"/>
        <v>25795.319999999996</v>
      </c>
      <c r="AE416" s="788">
        <f t="shared" si="138"/>
        <v>25795.319999999996</v>
      </c>
      <c r="AF416" s="785">
        <f t="shared" si="141"/>
        <v>0</v>
      </c>
      <c r="AG416" s="786">
        <f t="shared" si="139"/>
        <v>0</v>
      </c>
      <c r="AH416" s="788">
        <f t="shared" si="140"/>
        <v>0</v>
      </c>
      <c r="AI416" s="786">
        <v>898.28</v>
      </c>
    </row>
    <row r="417" spans="1:35" ht="12.75" x14ac:dyDescent="0.2">
      <c r="A417" s="782" t="s">
        <v>2118</v>
      </c>
      <c r="B417" s="779">
        <v>14</v>
      </c>
      <c r="C417" s="783">
        <v>11073.360000000002</v>
      </c>
      <c r="D417" s="780">
        <v>14922.470000000001</v>
      </c>
      <c r="E417" s="12"/>
      <c r="F417" s="12"/>
      <c r="G417" s="12"/>
      <c r="H417" s="12"/>
      <c r="I417" s="12"/>
      <c r="J417" s="12"/>
      <c r="K417" s="781">
        <f t="shared" si="133"/>
        <v>25995.83</v>
      </c>
      <c r="L417" s="12"/>
      <c r="M417" s="12"/>
      <c r="N417" s="162"/>
      <c r="O417" s="784">
        <f t="shared" si="134"/>
        <v>311949.96000000002</v>
      </c>
      <c r="P417" s="785">
        <f t="shared" si="135"/>
        <v>155027.04000000004</v>
      </c>
      <c r="Q417" s="786">
        <v>14</v>
      </c>
      <c r="R417" s="780">
        <v>11382.699999999999</v>
      </c>
      <c r="S417" s="780">
        <v>15215.96</v>
      </c>
      <c r="T417" s="12"/>
      <c r="U417" s="12"/>
      <c r="V417" s="12"/>
      <c r="W417" s="12"/>
      <c r="X417" s="12"/>
      <c r="Y417" s="12"/>
      <c r="Z417" s="780">
        <f t="shared" si="136"/>
        <v>26598.659999999996</v>
      </c>
      <c r="AA417" s="780"/>
      <c r="AB417" s="780"/>
      <c r="AC417" s="787"/>
      <c r="AD417" s="784">
        <f t="shared" si="137"/>
        <v>319183.91999999993</v>
      </c>
      <c r="AE417" s="788">
        <f t="shared" si="138"/>
        <v>4468574.879999999</v>
      </c>
      <c r="AF417" s="785">
        <f t="shared" si="141"/>
        <v>-309.33999999999651</v>
      </c>
      <c r="AG417" s="786">
        <f t="shared" si="139"/>
        <v>0</v>
      </c>
      <c r="AH417" s="788">
        <f t="shared" si="140"/>
        <v>0</v>
      </c>
      <c r="AI417" s="786">
        <v>11382.699999999999</v>
      </c>
    </row>
    <row r="418" spans="1:35" ht="12.75" x14ac:dyDescent="0.2">
      <c r="A418" s="786" t="s">
        <v>2119</v>
      </c>
      <c r="B418" s="779"/>
      <c r="C418" s="780"/>
      <c r="D418" s="780"/>
      <c r="E418" s="12"/>
      <c r="F418" s="12"/>
      <c r="G418" s="12"/>
      <c r="H418" s="12"/>
      <c r="I418" s="12"/>
      <c r="J418" s="12"/>
      <c r="K418" s="780"/>
      <c r="L418" s="12"/>
      <c r="M418" s="12"/>
      <c r="N418" s="162"/>
      <c r="O418" s="784"/>
      <c r="P418" s="788"/>
      <c r="Q418" s="786">
        <v>2</v>
      </c>
      <c r="R418" s="780">
        <v>1842.1399999999999</v>
      </c>
      <c r="S418" s="780">
        <v>2702.66</v>
      </c>
      <c r="T418" s="12"/>
      <c r="U418" s="12"/>
      <c r="V418" s="12"/>
      <c r="W418" s="12"/>
      <c r="X418" s="12"/>
      <c r="Y418" s="12"/>
      <c r="Z418" s="780">
        <f t="shared" si="136"/>
        <v>4544.7999999999993</v>
      </c>
      <c r="AA418" s="780"/>
      <c r="AB418" s="780"/>
      <c r="AC418" s="787"/>
      <c r="AD418" s="784">
        <f t="shared" si="137"/>
        <v>54537.599999999991</v>
      </c>
      <c r="AE418" s="788">
        <f t="shared" si="138"/>
        <v>109075.19999999998</v>
      </c>
      <c r="AF418" s="785">
        <f t="shared" si="141"/>
        <v>-1842.1399999999999</v>
      </c>
      <c r="AG418" s="786">
        <f t="shared" si="139"/>
        <v>-2</v>
      </c>
      <c r="AH418" s="788">
        <f t="shared" si="140"/>
        <v>-2</v>
      </c>
      <c r="AI418" s="786">
        <v>1842.1399999999999</v>
      </c>
    </row>
    <row r="419" spans="1:35" ht="12.75" x14ac:dyDescent="0.2">
      <c r="A419" s="786"/>
      <c r="B419" s="779"/>
      <c r="C419" s="780"/>
      <c r="D419" s="780"/>
      <c r="E419" s="12"/>
      <c r="F419" s="12"/>
      <c r="G419" s="12"/>
      <c r="H419" s="12"/>
      <c r="I419" s="12"/>
      <c r="J419" s="12"/>
      <c r="K419" s="780"/>
      <c r="L419" s="12"/>
      <c r="M419" s="12"/>
      <c r="N419" s="162"/>
      <c r="O419" s="784"/>
      <c r="P419" s="788"/>
      <c r="Q419" s="786"/>
      <c r="R419" s="780"/>
      <c r="S419" s="780"/>
      <c r="T419" s="12"/>
      <c r="U419" s="12"/>
      <c r="V419" s="12"/>
      <c r="W419" s="12"/>
      <c r="X419" s="12"/>
      <c r="Y419" s="12"/>
      <c r="Z419" s="780"/>
      <c r="AA419" s="780"/>
      <c r="AB419" s="780"/>
      <c r="AC419" s="787"/>
      <c r="AD419" s="784"/>
      <c r="AE419" s="788"/>
      <c r="AF419" s="788"/>
      <c r="AG419" s="786"/>
      <c r="AH419" s="788"/>
      <c r="AI419" s="786"/>
    </row>
    <row r="420" spans="1:35" ht="12.75" x14ac:dyDescent="0.2">
      <c r="A420" s="778" t="s">
        <v>61</v>
      </c>
      <c r="B420" s="789"/>
      <c r="C420" s="790"/>
      <c r="D420" s="790"/>
      <c r="E420" s="12"/>
      <c r="F420" s="12"/>
      <c r="G420" s="12"/>
      <c r="H420" s="12"/>
      <c r="I420" s="12"/>
      <c r="J420" s="12"/>
      <c r="K420" s="790"/>
      <c r="L420" s="12"/>
      <c r="M420" s="12"/>
      <c r="N420" s="162"/>
      <c r="O420" s="791"/>
      <c r="P420" s="792"/>
      <c r="Q420" s="778"/>
      <c r="R420" s="790"/>
      <c r="S420" s="790"/>
      <c r="T420" s="12"/>
      <c r="U420" s="12"/>
      <c r="V420" s="12"/>
      <c r="W420" s="12"/>
      <c r="X420" s="12"/>
      <c r="Y420" s="12"/>
      <c r="Z420" s="790"/>
      <c r="AA420" s="790"/>
      <c r="AB420" s="790"/>
      <c r="AC420" s="793"/>
      <c r="AD420" s="791"/>
      <c r="AE420" s="792"/>
      <c r="AF420" s="792"/>
      <c r="AG420" s="778"/>
      <c r="AH420" s="792"/>
      <c r="AI420" s="778"/>
    </row>
    <row r="421" spans="1:35" ht="12.75" x14ac:dyDescent="0.2">
      <c r="A421" s="786" t="s">
        <v>2120</v>
      </c>
      <c r="B421" s="779">
        <v>1</v>
      </c>
      <c r="C421" s="780">
        <v>2388.5300000000002</v>
      </c>
      <c r="D421" s="780"/>
      <c r="E421" s="12"/>
      <c r="F421" s="12"/>
      <c r="G421" s="12"/>
      <c r="H421" s="12"/>
      <c r="I421" s="12"/>
      <c r="J421" s="12"/>
      <c r="K421" s="781">
        <f t="shared" ref="K421:K459" si="142">+C421+D421+E421+F421+G421+H421+I421+J421</f>
        <v>2388.5300000000002</v>
      </c>
      <c r="L421" s="12"/>
      <c r="M421" s="12"/>
      <c r="N421" s="162"/>
      <c r="O421" s="784">
        <f t="shared" ref="O421:O459" si="143">+(K421*12)+N421</f>
        <v>28662.36</v>
      </c>
      <c r="P421" s="785">
        <f t="shared" ref="P421:P459" si="144">+B421*C421</f>
        <v>2388.5300000000002</v>
      </c>
      <c r="Q421" s="786">
        <v>1</v>
      </c>
      <c r="R421" s="780">
        <v>2852.32</v>
      </c>
      <c r="S421" s="780"/>
      <c r="T421" s="12"/>
      <c r="U421" s="12"/>
      <c r="V421" s="12"/>
      <c r="W421" s="12"/>
      <c r="X421" s="12"/>
      <c r="Y421" s="12"/>
      <c r="Z421" s="780">
        <f t="shared" ref="Z421:Z459" si="145">+R421+S421+T421+U421+V421+W421+X421+Y421</f>
        <v>2852.32</v>
      </c>
      <c r="AA421" s="780"/>
      <c r="AB421" s="780"/>
      <c r="AC421" s="787"/>
      <c r="AD421" s="784">
        <f t="shared" ref="AD421:AD459" si="146">+(Z421*12)+AC421</f>
        <v>34227.840000000004</v>
      </c>
      <c r="AE421" s="788">
        <f t="shared" ref="AE421:AE459" si="147">+Q421*AD421</f>
        <v>34227.840000000004</v>
      </c>
      <c r="AF421" s="785">
        <f t="shared" ref="AF421:AF459" si="148">+C421-R421</f>
        <v>-463.78999999999996</v>
      </c>
      <c r="AG421" s="786">
        <f t="shared" ref="AG421:AG459" si="149">+B421-Q421</f>
        <v>0</v>
      </c>
      <c r="AH421" s="788">
        <f t="shared" ref="AH421:AH459" si="150">+B421-Q421</f>
        <v>0</v>
      </c>
      <c r="AI421" s="786">
        <v>2852.32</v>
      </c>
    </row>
    <row r="422" spans="1:35" ht="12.75" x14ac:dyDescent="0.2">
      <c r="A422" s="786" t="s">
        <v>2121</v>
      </c>
      <c r="B422" s="779">
        <v>1</v>
      </c>
      <c r="C422" s="780">
        <v>4389.1400000000003</v>
      </c>
      <c r="D422" s="780"/>
      <c r="E422" s="12"/>
      <c r="F422" s="12"/>
      <c r="G422" s="12"/>
      <c r="H422" s="12"/>
      <c r="I422" s="12"/>
      <c r="J422" s="12"/>
      <c r="K422" s="781">
        <f t="shared" si="142"/>
        <v>4389.1400000000003</v>
      </c>
      <c r="L422" s="12"/>
      <c r="M422" s="12"/>
      <c r="N422" s="162"/>
      <c r="O422" s="784">
        <f t="shared" si="143"/>
        <v>52669.680000000008</v>
      </c>
      <c r="P422" s="785">
        <f t="shared" si="144"/>
        <v>4389.1400000000003</v>
      </c>
      <c r="Q422" s="786">
        <v>1</v>
      </c>
      <c r="R422" s="780">
        <v>3660</v>
      </c>
      <c r="S422" s="780"/>
      <c r="T422" s="12"/>
      <c r="U422" s="12"/>
      <c r="V422" s="12"/>
      <c r="W422" s="12"/>
      <c r="X422" s="12"/>
      <c r="Y422" s="12"/>
      <c r="Z422" s="780">
        <f t="shared" si="145"/>
        <v>3660</v>
      </c>
      <c r="AA422" s="780"/>
      <c r="AB422" s="780"/>
      <c r="AC422" s="787"/>
      <c r="AD422" s="784">
        <f t="shared" si="146"/>
        <v>43920</v>
      </c>
      <c r="AE422" s="788">
        <f t="shared" si="147"/>
        <v>43920</v>
      </c>
      <c r="AF422" s="785">
        <f t="shared" si="148"/>
        <v>729.14000000000033</v>
      </c>
      <c r="AG422" s="786">
        <f t="shared" si="149"/>
        <v>0</v>
      </c>
      <c r="AH422" s="788">
        <f t="shared" si="150"/>
        <v>0</v>
      </c>
      <c r="AI422" s="786">
        <v>3660</v>
      </c>
    </row>
    <row r="423" spans="1:35" ht="12.75" x14ac:dyDescent="0.2">
      <c r="A423" s="786" t="s">
        <v>2122</v>
      </c>
      <c r="B423" s="779">
        <v>6</v>
      </c>
      <c r="C423" s="780">
        <v>23569.059999999998</v>
      </c>
      <c r="D423" s="780"/>
      <c r="E423" s="12"/>
      <c r="F423" s="12"/>
      <c r="G423" s="12"/>
      <c r="H423" s="12"/>
      <c r="I423" s="12"/>
      <c r="J423" s="12"/>
      <c r="K423" s="781">
        <f t="shared" si="142"/>
        <v>23569.059999999998</v>
      </c>
      <c r="L423" s="12"/>
      <c r="M423" s="12"/>
      <c r="N423" s="162"/>
      <c r="O423" s="784">
        <f t="shared" si="143"/>
        <v>282828.71999999997</v>
      </c>
      <c r="P423" s="785">
        <f t="shared" si="144"/>
        <v>141414.35999999999</v>
      </c>
      <c r="Q423" s="786">
        <v>6</v>
      </c>
      <c r="R423" s="780">
        <v>26170.440000000002</v>
      </c>
      <c r="S423" s="780"/>
      <c r="T423" s="12"/>
      <c r="U423" s="12"/>
      <c r="V423" s="12"/>
      <c r="W423" s="12"/>
      <c r="X423" s="12"/>
      <c r="Y423" s="12"/>
      <c r="Z423" s="780">
        <f t="shared" si="145"/>
        <v>26170.440000000002</v>
      </c>
      <c r="AA423" s="780"/>
      <c r="AB423" s="780"/>
      <c r="AC423" s="787"/>
      <c r="AD423" s="784">
        <f t="shared" si="146"/>
        <v>314045.28000000003</v>
      </c>
      <c r="AE423" s="788">
        <f t="shared" si="147"/>
        <v>1884271.6800000002</v>
      </c>
      <c r="AF423" s="785">
        <f t="shared" si="148"/>
        <v>-2601.3800000000047</v>
      </c>
      <c r="AG423" s="786">
        <f t="shared" si="149"/>
        <v>0</v>
      </c>
      <c r="AH423" s="788">
        <f t="shared" si="150"/>
        <v>0</v>
      </c>
      <c r="AI423" s="786">
        <v>26170.440000000002</v>
      </c>
    </row>
    <row r="424" spans="1:35" ht="12.75" x14ac:dyDescent="0.2">
      <c r="A424" s="786" t="s">
        <v>2123</v>
      </c>
      <c r="B424" s="779">
        <v>1</v>
      </c>
      <c r="C424" s="780">
        <v>2137.5100000000002</v>
      </c>
      <c r="D424" s="780"/>
      <c r="E424" s="12"/>
      <c r="F424" s="12"/>
      <c r="G424" s="12"/>
      <c r="H424" s="12"/>
      <c r="I424" s="12"/>
      <c r="J424" s="12"/>
      <c r="K424" s="781">
        <f t="shared" si="142"/>
        <v>2137.5100000000002</v>
      </c>
      <c r="L424" s="12"/>
      <c r="M424" s="12"/>
      <c r="N424" s="162"/>
      <c r="O424" s="784">
        <f t="shared" si="143"/>
        <v>25650.120000000003</v>
      </c>
      <c r="P424" s="785">
        <f t="shared" si="144"/>
        <v>2137.5100000000002</v>
      </c>
      <c r="Q424" s="786"/>
      <c r="R424" s="780"/>
      <c r="S424" s="780"/>
      <c r="T424" s="12"/>
      <c r="U424" s="12"/>
      <c r="V424" s="12"/>
      <c r="W424" s="12"/>
      <c r="X424" s="12"/>
      <c r="Y424" s="12"/>
      <c r="Z424" s="780">
        <f t="shared" si="145"/>
        <v>0</v>
      </c>
      <c r="AA424" s="780"/>
      <c r="AB424" s="780"/>
      <c r="AC424" s="787"/>
      <c r="AD424" s="784">
        <f t="shared" si="146"/>
        <v>0</v>
      </c>
      <c r="AE424" s="788">
        <f t="shared" si="147"/>
        <v>0</v>
      </c>
      <c r="AF424" s="785">
        <f t="shared" si="148"/>
        <v>2137.5100000000002</v>
      </c>
      <c r="AG424" s="786">
        <f t="shared" si="149"/>
        <v>1</v>
      </c>
      <c r="AH424" s="788">
        <f t="shared" si="150"/>
        <v>1</v>
      </c>
      <c r="AI424" s="786"/>
    </row>
    <row r="425" spans="1:35" ht="12.75" x14ac:dyDescent="0.2">
      <c r="A425" s="786" t="s">
        <v>2124</v>
      </c>
      <c r="B425" s="779">
        <v>3</v>
      </c>
      <c r="C425" s="780">
        <v>8793</v>
      </c>
      <c r="D425" s="780"/>
      <c r="E425" s="12"/>
      <c r="F425" s="12"/>
      <c r="G425" s="12"/>
      <c r="H425" s="12"/>
      <c r="I425" s="12"/>
      <c r="J425" s="12"/>
      <c r="K425" s="781">
        <f t="shared" si="142"/>
        <v>8793</v>
      </c>
      <c r="L425" s="12"/>
      <c r="M425" s="12"/>
      <c r="N425" s="162"/>
      <c r="O425" s="784">
        <f t="shared" si="143"/>
        <v>105516</v>
      </c>
      <c r="P425" s="785">
        <f t="shared" si="144"/>
        <v>26379</v>
      </c>
      <c r="Q425" s="786">
        <v>3</v>
      </c>
      <c r="R425" s="780">
        <v>10032</v>
      </c>
      <c r="S425" s="780"/>
      <c r="T425" s="12"/>
      <c r="U425" s="12"/>
      <c r="V425" s="12"/>
      <c r="W425" s="12"/>
      <c r="X425" s="12"/>
      <c r="Y425" s="12"/>
      <c r="Z425" s="780">
        <f t="shared" si="145"/>
        <v>10032</v>
      </c>
      <c r="AA425" s="780"/>
      <c r="AB425" s="780"/>
      <c r="AC425" s="787"/>
      <c r="AD425" s="784">
        <f t="shared" si="146"/>
        <v>120384</v>
      </c>
      <c r="AE425" s="788">
        <f t="shared" si="147"/>
        <v>361152</v>
      </c>
      <c r="AF425" s="785">
        <f t="shared" si="148"/>
        <v>-1239</v>
      </c>
      <c r="AG425" s="786">
        <f t="shared" si="149"/>
        <v>0</v>
      </c>
      <c r="AH425" s="788">
        <f t="shared" si="150"/>
        <v>0</v>
      </c>
      <c r="AI425" s="786">
        <v>10032</v>
      </c>
    </row>
    <row r="426" spans="1:35" ht="12.75" x14ac:dyDescent="0.2">
      <c r="A426" s="786" t="s">
        <v>2125</v>
      </c>
      <c r="B426" s="779">
        <v>11</v>
      </c>
      <c r="C426" s="780">
        <v>41915.11</v>
      </c>
      <c r="D426" s="780"/>
      <c r="E426" s="12"/>
      <c r="F426" s="12"/>
      <c r="G426" s="12"/>
      <c r="H426" s="12"/>
      <c r="I426" s="12"/>
      <c r="J426" s="12"/>
      <c r="K426" s="781">
        <f t="shared" si="142"/>
        <v>41915.11</v>
      </c>
      <c r="L426" s="12"/>
      <c r="M426" s="12"/>
      <c r="N426" s="162"/>
      <c r="O426" s="784">
        <f t="shared" si="143"/>
        <v>502981.32</v>
      </c>
      <c r="P426" s="785">
        <f t="shared" si="144"/>
        <v>461066.21</v>
      </c>
      <c r="Q426" s="786">
        <v>11</v>
      </c>
      <c r="R426" s="780">
        <v>48654.35</v>
      </c>
      <c r="S426" s="780"/>
      <c r="T426" s="12"/>
      <c r="U426" s="12"/>
      <c r="V426" s="12"/>
      <c r="W426" s="12"/>
      <c r="X426" s="12"/>
      <c r="Y426" s="12"/>
      <c r="Z426" s="780">
        <f t="shared" si="145"/>
        <v>48654.35</v>
      </c>
      <c r="AA426" s="780"/>
      <c r="AB426" s="780"/>
      <c r="AC426" s="787"/>
      <c r="AD426" s="784">
        <f t="shared" si="146"/>
        <v>583852.19999999995</v>
      </c>
      <c r="AE426" s="788">
        <f t="shared" si="147"/>
        <v>6422374.1999999993</v>
      </c>
      <c r="AF426" s="785">
        <f t="shared" si="148"/>
        <v>-6739.239999999998</v>
      </c>
      <c r="AG426" s="786">
        <f t="shared" si="149"/>
        <v>0</v>
      </c>
      <c r="AH426" s="788">
        <f t="shared" si="150"/>
        <v>0</v>
      </c>
      <c r="AI426" s="786">
        <v>48654.35</v>
      </c>
    </row>
    <row r="427" spans="1:35" ht="12.75" x14ac:dyDescent="0.2">
      <c r="A427" s="786" t="s">
        <v>2126</v>
      </c>
      <c r="B427" s="779">
        <v>1</v>
      </c>
      <c r="C427" s="780">
        <v>3217</v>
      </c>
      <c r="D427" s="780"/>
      <c r="E427" s="12"/>
      <c r="F427" s="12"/>
      <c r="G427" s="12"/>
      <c r="H427" s="12"/>
      <c r="I427" s="12"/>
      <c r="J427" s="12"/>
      <c r="K427" s="781">
        <f t="shared" si="142"/>
        <v>3217</v>
      </c>
      <c r="L427" s="12"/>
      <c r="M427" s="12"/>
      <c r="N427" s="162"/>
      <c r="O427" s="784">
        <f t="shared" si="143"/>
        <v>38604</v>
      </c>
      <c r="P427" s="785">
        <f t="shared" si="144"/>
        <v>3217</v>
      </c>
      <c r="Q427" s="786">
        <v>1</v>
      </c>
      <c r="R427" s="780">
        <v>3660</v>
      </c>
      <c r="S427" s="780"/>
      <c r="T427" s="12"/>
      <c r="U427" s="12"/>
      <c r="V427" s="12"/>
      <c r="W427" s="12"/>
      <c r="X427" s="12"/>
      <c r="Y427" s="12"/>
      <c r="Z427" s="780">
        <f t="shared" si="145"/>
        <v>3660</v>
      </c>
      <c r="AA427" s="780"/>
      <c r="AB427" s="780"/>
      <c r="AC427" s="787"/>
      <c r="AD427" s="784">
        <f t="shared" si="146"/>
        <v>43920</v>
      </c>
      <c r="AE427" s="788">
        <f t="shared" si="147"/>
        <v>43920</v>
      </c>
      <c r="AF427" s="785">
        <f t="shared" si="148"/>
        <v>-443</v>
      </c>
      <c r="AG427" s="786">
        <f t="shared" si="149"/>
        <v>0</v>
      </c>
      <c r="AH427" s="788">
        <f t="shared" si="150"/>
        <v>0</v>
      </c>
      <c r="AI427" s="786">
        <v>3660</v>
      </c>
    </row>
    <row r="428" spans="1:35" ht="12.75" x14ac:dyDescent="0.2">
      <c r="A428" s="786" t="s">
        <v>2127</v>
      </c>
      <c r="B428" s="779">
        <v>2</v>
      </c>
      <c r="C428" s="780">
        <v>9320.64</v>
      </c>
      <c r="D428" s="780"/>
      <c r="E428" s="12"/>
      <c r="F428" s="12"/>
      <c r="G428" s="12"/>
      <c r="H428" s="12"/>
      <c r="I428" s="12"/>
      <c r="J428" s="12"/>
      <c r="K428" s="781">
        <f t="shared" si="142"/>
        <v>9320.64</v>
      </c>
      <c r="L428" s="12"/>
      <c r="M428" s="12"/>
      <c r="N428" s="162"/>
      <c r="O428" s="784">
        <f t="shared" si="143"/>
        <v>111847.67999999999</v>
      </c>
      <c r="P428" s="785">
        <f t="shared" si="144"/>
        <v>18641.28</v>
      </c>
      <c r="Q428" s="786">
        <v>2</v>
      </c>
      <c r="R428" s="780">
        <v>11783.46</v>
      </c>
      <c r="S428" s="780"/>
      <c r="T428" s="12"/>
      <c r="U428" s="12"/>
      <c r="V428" s="12"/>
      <c r="W428" s="12"/>
      <c r="X428" s="12"/>
      <c r="Y428" s="12"/>
      <c r="Z428" s="780">
        <f t="shared" si="145"/>
        <v>11783.46</v>
      </c>
      <c r="AA428" s="780"/>
      <c r="AB428" s="780"/>
      <c r="AC428" s="787"/>
      <c r="AD428" s="784">
        <f t="shared" si="146"/>
        <v>141401.51999999999</v>
      </c>
      <c r="AE428" s="788">
        <f t="shared" si="147"/>
        <v>282803.03999999998</v>
      </c>
      <c r="AF428" s="785">
        <f t="shared" si="148"/>
        <v>-2462.8199999999997</v>
      </c>
      <c r="AG428" s="786">
        <f t="shared" si="149"/>
        <v>0</v>
      </c>
      <c r="AH428" s="788">
        <f t="shared" si="150"/>
        <v>0</v>
      </c>
      <c r="AI428" s="786">
        <v>11783.46</v>
      </c>
    </row>
    <row r="429" spans="1:35" ht="12.75" x14ac:dyDescent="0.2">
      <c r="A429" s="786" t="s">
        <v>2128</v>
      </c>
      <c r="B429" s="779">
        <v>57</v>
      </c>
      <c r="C429" s="780">
        <v>239858.73000000007</v>
      </c>
      <c r="D429" s="780"/>
      <c r="E429" s="12"/>
      <c r="F429" s="12"/>
      <c r="G429" s="12"/>
      <c r="H429" s="12"/>
      <c r="I429" s="12"/>
      <c r="J429" s="12"/>
      <c r="K429" s="781">
        <f t="shared" si="142"/>
        <v>239858.73000000007</v>
      </c>
      <c r="L429" s="12"/>
      <c r="M429" s="12"/>
      <c r="N429" s="162"/>
      <c r="O429" s="784">
        <f t="shared" si="143"/>
        <v>2878304.7600000007</v>
      </c>
      <c r="P429" s="785">
        <f t="shared" si="144"/>
        <v>13671947.610000003</v>
      </c>
      <c r="Q429" s="786">
        <v>56</v>
      </c>
      <c r="R429" s="780">
        <v>256089.29000000004</v>
      </c>
      <c r="S429" s="780"/>
      <c r="T429" s="12"/>
      <c r="U429" s="12"/>
      <c r="V429" s="12"/>
      <c r="W429" s="12"/>
      <c r="X429" s="12"/>
      <c r="Y429" s="12"/>
      <c r="Z429" s="780">
        <f t="shared" si="145"/>
        <v>256089.29000000004</v>
      </c>
      <c r="AA429" s="780"/>
      <c r="AB429" s="780"/>
      <c r="AC429" s="787"/>
      <c r="AD429" s="784">
        <f t="shared" si="146"/>
        <v>3073071.4800000004</v>
      </c>
      <c r="AE429" s="788">
        <f t="shared" si="147"/>
        <v>172092002.88000003</v>
      </c>
      <c r="AF429" s="785">
        <f t="shared" si="148"/>
        <v>-16230.559999999969</v>
      </c>
      <c r="AG429" s="786">
        <f t="shared" si="149"/>
        <v>1</v>
      </c>
      <c r="AH429" s="788">
        <f t="shared" si="150"/>
        <v>1</v>
      </c>
      <c r="AI429" s="786">
        <v>256089.29000000004</v>
      </c>
    </row>
    <row r="430" spans="1:35" ht="12.75" x14ac:dyDescent="0.2">
      <c r="A430" s="786" t="s">
        <v>2129</v>
      </c>
      <c r="B430" s="779">
        <v>18</v>
      </c>
      <c r="C430" s="780">
        <v>83172.76999999999</v>
      </c>
      <c r="D430" s="780"/>
      <c r="E430" s="12"/>
      <c r="F430" s="12"/>
      <c r="G430" s="12"/>
      <c r="H430" s="12"/>
      <c r="I430" s="12"/>
      <c r="J430" s="12"/>
      <c r="K430" s="781">
        <f t="shared" si="142"/>
        <v>83172.76999999999</v>
      </c>
      <c r="L430" s="12"/>
      <c r="M430" s="12"/>
      <c r="N430" s="162"/>
      <c r="O430" s="784">
        <f t="shared" si="143"/>
        <v>998073.23999999987</v>
      </c>
      <c r="P430" s="785">
        <f t="shared" si="144"/>
        <v>1497109.8599999999</v>
      </c>
      <c r="Q430" s="786">
        <v>18</v>
      </c>
      <c r="R430" s="780">
        <v>89039.659999999989</v>
      </c>
      <c r="S430" s="780"/>
      <c r="T430" s="12"/>
      <c r="U430" s="12"/>
      <c r="V430" s="12"/>
      <c r="W430" s="12"/>
      <c r="X430" s="12"/>
      <c r="Y430" s="12"/>
      <c r="Z430" s="780">
        <f t="shared" si="145"/>
        <v>89039.659999999989</v>
      </c>
      <c r="AA430" s="780"/>
      <c r="AB430" s="780"/>
      <c r="AC430" s="787"/>
      <c r="AD430" s="784">
        <f t="shared" si="146"/>
        <v>1068475.92</v>
      </c>
      <c r="AE430" s="788">
        <f t="shared" si="147"/>
        <v>19232566.559999999</v>
      </c>
      <c r="AF430" s="785">
        <f t="shared" si="148"/>
        <v>-5866.8899999999994</v>
      </c>
      <c r="AG430" s="786">
        <f t="shared" si="149"/>
        <v>0</v>
      </c>
      <c r="AH430" s="788">
        <f t="shared" si="150"/>
        <v>0</v>
      </c>
      <c r="AI430" s="786">
        <v>89039.659999999989</v>
      </c>
    </row>
    <row r="431" spans="1:35" ht="12.75" x14ac:dyDescent="0.2">
      <c r="A431" s="786" t="s">
        <v>2130</v>
      </c>
      <c r="B431" s="779">
        <v>2</v>
      </c>
      <c r="C431" s="780">
        <v>9003.18</v>
      </c>
      <c r="D431" s="780"/>
      <c r="E431" s="12"/>
      <c r="F431" s="12"/>
      <c r="G431" s="12"/>
      <c r="H431" s="12"/>
      <c r="I431" s="12"/>
      <c r="J431" s="12"/>
      <c r="K431" s="781">
        <f t="shared" si="142"/>
        <v>9003.18</v>
      </c>
      <c r="L431" s="12"/>
      <c r="M431" s="12"/>
      <c r="N431" s="162"/>
      <c r="O431" s="784">
        <f t="shared" si="143"/>
        <v>108038.16</v>
      </c>
      <c r="P431" s="785">
        <f t="shared" si="144"/>
        <v>18006.36</v>
      </c>
      <c r="Q431" s="786">
        <v>2</v>
      </c>
      <c r="R431" s="780">
        <v>8942</v>
      </c>
      <c r="S431" s="780"/>
      <c r="T431" s="12"/>
      <c r="U431" s="12"/>
      <c r="V431" s="12"/>
      <c r="W431" s="12"/>
      <c r="X431" s="12"/>
      <c r="Y431" s="12"/>
      <c r="Z431" s="780">
        <f t="shared" si="145"/>
        <v>8942</v>
      </c>
      <c r="AA431" s="780"/>
      <c r="AB431" s="780"/>
      <c r="AC431" s="787"/>
      <c r="AD431" s="784">
        <f t="shared" si="146"/>
        <v>107304</v>
      </c>
      <c r="AE431" s="788">
        <f t="shared" si="147"/>
        <v>214608</v>
      </c>
      <c r="AF431" s="785">
        <f t="shared" si="148"/>
        <v>61.180000000000291</v>
      </c>
      <c r="AG431" s="786">
        <f t="shared" si="149"/>
        <v>0</v>
      </c>
      <c r="AH431" s="788">
        <f t="shared" si="150"/>
        <v>0</v>
      </c>
      <c r="AI431" s="786">
        <v>8942</v>
      </c>
    </row>
    <row r="432" spans="1:35" ht="12.75" x14ac:dyDescent="0.2">
      <c r="A432" s="786" t="s">
        <v>2131</v>
      </c>
      <c r="B432" s="779">
        <v>42</v>
      </c>
      <c r="C432" s="780">
        <v>257963.18000000008</v>
      </c>
      <c r="D432" s="780"/>
      <c r="E432" s="12"/>
      <c r="F432" s="12"/>
      <c r="G432" s="12"/>
      <c r="H432" s="12"/>
      <c r="I432" s="12"/>
      <c r="J432" s="12"/>
      <c r="K432" s="781">
        <f t="shared" si="142"/>
        <v>257963.18000000008</v>
      </c>
      <c r="L432" s="12"/>
      <c r="M432" s="12"/>
      <c r="N432" s="162"/>
      <c r="O432" s="784">
        <f t="shared" si="143"/>
        <v>3095558.1600000011</v>
      </c>
      <c r="P432" s="785">
        <f t="shared" si="144"/>
        <v>10834453.560000004</v>
      </c>
      <c r="Q432" s="786">
        <v>43</v>
      </c>
      <c r="R432" s="780">
        <v>288335.07</v>
      </c>
      <c r="S432" s="780"/>
      <c r="T432" s="12"/>
      <c r="U432" s="12"/>
      <c r="V432" s="12"/>
      <c r="W432" s="12"/>
      <c r="X432" s="12"/>
      <c r="Y432" s="12"/>
      <c r="Z432" s="780">
        <f t="shared" si="145"/>
        <v>288335.07</v>
      </c>
      <c r="AA432" s="780"/>
      <c r="AB432" s="780"/>
      <c r="AC432" s="787"/>
      <c r="AD432" s="784">
        <f t="shared" si="146"/>
        <v>3460020.84</v>
      </c>
      <c r="AE432" s="788">
        <f t="shared" si="147"/>
        <v>148780896.12</v>
      </c>
      <c r="AF432" s="785">
        <f t="shared" si="148"/>
        <v>-30371.889999999927</v>
      </c>
      <c r="AG432" s="786">
        <f t="shared" si="149"/>
        <v>-1</v>
      </c>
      <c r="AH432" s="788">
        <f t="shared" si="150"/>
        <v>-1</v>
      </c>
      <c r="AI432" s="786">
        <v>288335.07</v>
      </c>
    </row>
    <row r="433" spans="1:35" ht="12.75" x14ac:dyDescent="0.2">
      <c r="A433" s="786" t="s">
        <v>2132</v>
      </c>
      <c r="B433" s="779">
        <v>10</v>
      </c>
      <c r="C433" s="780">
        <v>71460.23</v>
      </c>
      <c r="D433" s="780"/>
      <c r="E433" s="12"/>
      <c r="F433" s="12"/>
      <c r="G433" s="12"/>
      <c r="H433" s="12"/>
      <c r="I433" s="12"/>
      <c r="J433" s="12"/>
      <c r="K433" s="781">
        <f t="shared" si="142"/>
        <v>71460.23</v>
      </c>
      <c r="L433" s="12"/>
      <c r="M433" s="12"/>
      <c r="N433" s="162"/>
      <c r="O433" s="784">
        <f t="shared" si="143"/>
        <v>857522.76</v>
      </c>
      <c r="P433" s="785">
        <f t="shared" si="144"/>
        <v>714602.29999999993</v>
      </c>
      <c r="Q433" s="786">
        <v>10</v>
      </c>
      <c r="R433" s="780">
        <v>75455.360000000001</v>
      </c>
      <c r="S433" s="780"/>
      <c r="T433" s="12"/>
      <c r="U433" s="12"/>
      <c r="V433" s="12"/>
      <c r="W433" s="12"/>
      <c r="X433" s="12"/>
      <c r="Y433" s="12"/>
      <c r="Z433" s="780">
        <f t="shared" si="145"/>
        <v>75455.360000000001</v>
      </c>
      <c r="AA433" s="780"/>
      <c r="AB433" s="780"/>
      <c r="AC433" s="787"/>
      <c r="AD433" s="784">
        <f t="shared" si="146"/>
        <v>905464.32000000007</v>
      </c>
      <c r="AE433" s="788">
        <f t="shared" si="147"/>
        <v>9054643.2000000011</v>
      </c>
      <c r="AF433" s="785">
        <f t="shared" si="148"/>
        <v>-3995.1300000000047</v>
      </c>
      <c r="AG433" s="786">
        <f t="shared" si="149"/>
        <v>0</v>
      </c>
      <c r="AH433" s="788">
        <f t="shared" si="150"/>
        <v>0</v>
      </c>
      <c r="AI433" s="786">
        <v>75455.360000000001</v>
      </c>
    </row>
    <row r="434" spans="1:35" ht="12.75" x14ac:dyDescent="0.2">
      <c r="A434" s="786" t="s">
        <v>2133</v>
      </c>
      <c r="B434" s="779">
        <v>34</v>
      </c>
      <c r="C434" s="780">
        <v>245673.33000000002</v>
      </c>
      <c r="D434" s="780"/>
      <c r="E434" s="12"/>
      <c r="F434" s="12"/>
      <c r="G434" s="12"/>
      <c r="H434" s="12"/>
      <c r="I434" s="12"/>
      <c r="J434" s="12"/>
      <c r="K434" s="781">
        <f t="shared" si="142"/>
        <v>245673.33000000002</v>
      </c>
      <c r="L434" s="12"/>
      <c r="M434" s="12"/>
      <c r="N434" s="162"/>
      <c r="O434" s="784">
        <f t="shared" si="143"/>
        <v>2948079.96</v>
      </c>
      <c r="P434" s="785">
        <f t="shared" si="144"/>
        <v>8352893.2200000007</v>
      </c>
      <c r="Q434" s="786">
        <v>32</v>
      </c>
      <c r="R434" s="780">
        <v>248253.51999999996</v>
      </c>
      <c r="S434" s="780"/>
      <c r="T434" s="12"/>
      <c r="U434" s="12"/>
      <c r="V434" s="12"/>
      <c r="W434" s="12"/>
      <c r="X434" s="12"/>
      <c r="Y434" s="12"/>
      <c r="Z434" s="780">
        <f t="shared" si="145"/>
        <v>248253.51999999996</v>
      </c>
      <c r="AA434" s="780"/>
      <c r="AB434" s="780"/>
      <c r="AC434" s="787"/>
      <c r="AD434" s="784">
        <f t="shared" si="146"/>
        <v>2979042.2399999993</v>
      </c>
      <c r="AE434" s="788">
        <f t="shared" si="147"/>
        <v>95329351.679999977</v>
      </c>
      <c r="AF434" s="785">
        <f t="shared" si="148"/>
        <v>-2580.1899999999441</v>
      </c>
      <c r="AG434" s="786">
        <f t="shared" si="149"/>
        <v>2</v>
      </c>
      <c r="AH434" s="788">
        <f t="shared" si="150"/>
        <v>2</v>
      </c>
      <c r="AI434" s="786">
        <v>248253.51999999996</v>
      </c>
    </row>
    <row r="435" spans="1:35" ht="12.75" x14ac:dyDescent="0.2">
      <c r="A435" s="786" t="s">
        <v>2134</v>
      </c>
      <c r="B435" s="779">
        <v>6</v>
      </c>
      <c r="C435" s="780">
        <v>45754.720000000001</v>
      </c>
      <c r="D435" s="780"/>
      <c r="E435" s="12"/>
      <c r="F435" s="12"/>
      <c r="G435" s="12"/>
      <c r="H435" s="12"/>
      <c r="I435" s="12"/>
      <c r="J435" s="12"/>
      <c r="K435" s="781">
        <f t="shared" si="142"/>
        <v>45754.720000000001</v>
      </c>
      <c r="L435" s="12"/>
      <c r="M435" s="12"/>
      <c r="N435" s="162"/>
      <c r="O435" s="784">
        <f t="shared" si="143"/>
        <v>549056.64</v>
      </c>
      <c r="P435" s="785">
        <f t="shared" si="144"/>
        <v>274528.32</v>
      </c>
      <c r="Q435" s="786">
        <v>5</v>
      </c>
      <c r="R435" s="780">
        <v>41930.380000000005</v>
      </c>
      <c r="S435" s="780"/>
      <c r="T435" s="12"/>
      <c r="U435" s="12"/>
      <c r="V435" s="12"/>
      <c r="W435" s="12"/>
      <c r="X435" s="12"/>
      <c r="Y435" s="12"/>
      <c r="Z435" s="780">
        <f t="shared" si="145"/>
        <v>41930.380000000005</v>
      </c>
      <c r="AA435" s="780"/>
      <c r="AB435" s="780"/>
      <c r="AC435" s="787"/>
      <c r="AD435" s="784">
        <f t="shared" si="146"/>
        <v>503164.56000000006</v>
      </c>
      <c r="AE435" s="788">
        <f t="shared" si="147"/>
        <v>2515822.8000000003</v>
      </c>
      <c r="AF435" s="785">
        <f t="shared" si="148"/>
        <v>3824.3399999999965</v>
      </c>
      <c r="AG435" s="786">
        <f t="shared" si="149"/>
        <v>1</v>
      </c>
      <c r="AH435" s="788">
        <f t="shared" si="150"/>
        <v>1</v>
      </c>
      <c r="AI435" s="786">
        <v>41930.380000000005</v>
      </c>
    </row>
    <row r="436" spans="1:35" ht="12.75" x14ac:dyDescent="0.2">
      <c r="A436" s="786" t="s">
        <v>2135</v>
      </c>
      <c r="B436" s="779">
        <v>6</v>
      </c>
      <c r="C436" s="780">
        <v>45694.83</v>
      </c>
      <c r="D436" s="780"/>
      <c r="E436" s="12"/>
      <c r="F436" s="12"/>
      <c r="G436" s="12"/>
      <c r="H436" s="12"/>
      <c r="I436" s="12"/>
      <c r="J436" s="12"/>
      <c r="K436" s="781">
        <f t="shared" si="142"/>
        <v>45694.83</v>
      </c>
      <c r="L436" s="12"/>
      <c r="M436" s="12"/>
      <c r="N436" s="162"/>
      <c r="O436" s="784">
        <f t="shared" si="143"/>
        <v>548337.96</v>
      </c>
      <c r="P436" s="785">
        <f t="shared" si="144"/>
        <v>274168.98</v>
      </c>
      <c r="Q436" s="786">
        <v>6</v>
      </c>
      <c r="R436" s="780">
        <v>49661.21</v>
      </c>
      <c r="S436" s="780"/>
      <c r="T436" s="12"/>
      <c r="U436" s="12"/>
      <c r="V436" s="12"/>
      <c r="W436" s="12"/>
      <c r="X436" s="12"/>
      <c r="Y436" s="12"/>
      <c r="Z436" s="780">
        <f t="shared" si="145"/>
        <v>49661.21</v>
      </c>
      <c r="AA436" s="780"/>
      <c r="AB436" s="780"/>
      <c r="AC436" s="787"/>
      <c r="AD436" s="784">
        <f t="shared" si="146"/>
        <v>595934.52</v>
      </c>
      <c r="AE436" s="788">
        <f t="shared" si="147"/>
        <v>3575607.12</v>
      </c>
      <c r="AF436" s="785">
        <f t="shared" si="148"/>
        <v>-3966.3799999999974</v>
      </c>
      <c r="AG436" s="786">
        <f t="shared" si="149"/>
        <v>0</v>
      </c>
      <c r="AH436" s="788">
        <f t="shared" si="150"/>
        <v>0</v>
      </c>
      <c r="AI436" s="786">
        <v>49661.21</v>
      </c>
    </row>
    <row r="437" spans="1:35" ht="12.75" x14ac:dyDescent="0.2">
      <c r="A437" s="786" t="s">
        <v>2136</v>
      </c>
      <c r="B437" s="779">
        <v>1</v>
      </c>
      <c r="C437" s="780">
        <v>8336.75</v>
      </c>
      <c r="D437" s="780"/>
      <c r="E437" s="12"/>
      <c r="F437" s="12"/>
      <c r="G437" s="12"/>
      <c r="H437" s="12"/>
      <c r="I437" s="12"/>
      <c r="J437" s="12"/>
      <c r="K437" s="781">
        <f t="shared" si="142"/>
        <v>8336.75</v>
      </c>
      <c r="L437" s="12"/>
      <c r="M437" s="12"/>
      <c r="N437" s="162"/>
      <c r="O437" s="784">
        <f t="shared" si="143"/>
        <v>100041</v>
      </c>
      <c r="P437" s="785">
        <f t="shared" si="144"/>
        <v>8336.75</v>
      </c>
      <c r="Q437" s="786">
        <v>1</v>
      </c>
      <c r="R437" s="780">
        <v>8166</v>
      </c>
      <c r="S437" s="780"/>
      <c r="T437" s="12"/>
      <c r="U437" s="12"/>
      <c r="V437" s="12"/>
      <c r="W437" s="12"/>
      <c r="X437" s="12"/>
      <c r="Y437" s="12"/>
      <c r="Z437" s="780">
        <f t="shared" si="145"/>
        <v>8166</v>
      </c>
      <c r="AA437" s="780"/>
      <c r="AB437" s="780"/>
      <c r="AC437" s="787"/>
      <c r="AD437" s="784">
        <f t="shared" si="146"/>
        <v>97992</v>
      </c>
      <c r="AE437" s="788">
        <f t="shared" si="147"/>
        <v>97992</v>
      </c>
      <c r="AF437" s="785">
        <f t="shared" si="148"/>
        <v>170.75</v>
      </c>
      <c r="AG437" s="786">
        <f t="shared" si="149"/>
        <v>0</v>
      </c>
      <c r="AH437" s="788">
        <f t="shared" si="150"/>
        <v>0</v>
      </c>
      <c r="AI437" s="786">
        <v>8166</v>
      </c>
    </row>
    <row r="438" spans="1:35" ht="12.75" x14ac:dyDescent="0.2">
      <c r="A438" s="786" t="s">
        <v>2137</v>
      </c>
      <c r="B438" s="779">
        <v>6</v>
      </c>
      <c r="C438" s="780">
        <v>45493.41</v>
      </c>
      <c r="D438" s="780"/>
      <c r="E438" s="12"/>
      <c r="F438" s="12"/>
      <c r="G438" s="12"/>
      <c r="H438" s="12"/>
      <c r="I438" s="12"/>
      <c r="J438" s="12"/>
      <c r="K438" s="781">
        <f t="shared" si="142"/>
        <v>45493.41</v>
      </c>
      <c r="L438" s="12"/>
      <c r="M438" s="12"/>
      <c r="N438" s="162"/>
      <c r="O438" s="784">
        <f t="shared" si="143"/>
        <v>545920.92000000004</v>
      </c>
      <c r="P438" s="785">
        <f t="shared" si="144"/>
        <v>272960.46000000002</v>
      </c>
      <c r="Q438" s="786">
        <v>6</v>
      </c>
      <c r="R438" s="780">
        <v>46296</v>
      </c>
      <c r="S438" s="780"/>
      <c r="T438" s="12"/>
      <c r="U438" s="12"/>
      <c r="V438" s="12"/>
      <c r="W438" s="12"/>
      <c r="X438" s="12"/>
      <c r="Y438" s="12"/>
      <c r="Z438" s="780">
        <f t="shared" si="145"/>
        <v>46296</v>
      </c>
      <c r="AA438" s="780"/>
      <c r="AB438" s="780"/>
      <c r="AC438" s="787"/>
      <c r="AD438" s="784">
        <f t="shared" si="146"/>
        <v>555552</v>
      </c>
      <c r="AE438" s="788">
        <f t="shared" si="147"/>
        <v>3333312</v>
      </c>
      <c r="AF438" s="785">
        <f t="shared" si="148"/>
        <v>-802.58999999999651</v>
      </c>
      <c r="AG438" s="786">
        <f t="shared" si="149"/>
        <v>0</v>
      </c>
      <c r="AH438" s="788">
        <f t="shared" si="150"/>
        <v>0</v>
      </c>
      <c r="AI438" s="786">
        <v>46296</v>
      </c>
    </row>
    <row r="439" spans="1:35" ht="12.75" x14ac:dyDescent="0.2">
      <c r="A439" s="786" t="s">
        <v>2138</v>
      </c>
      <c r="B439" s="779">
        <v>1</v>
      </c>
      <c r="C439" s="780">
        <v>6212.6</v>
      </c>
      <c r="D439" s="780"/>
      <c r="E439" s="12"/>
      <c r="F439" s="12"/>
      <c r="G439" s="12"/>
      <c r="H439" s="12"/>
      <c r="I439" s="12"/>
      <c r="J439" s="12"/>
      <c r="K439" s="781">
        <f t="shared" si="142"/>
        <v>6212.6</v>
      </c>
      <c r="L439" s="12"/>
      <c r="M439" s="12"/>
      <c r="N439" s="162"/>
      <c r="O439" s="784">
        <f t="shared" si="143"/>
        <v>74551.200000000012</v>
      </c>
      <c r="P439" s="785">
        <f t="shared" si="144"/>
        <v>6212.6</v>
      </c>
      <c r="Q439" s="786">
        <v>1</v>
      </c>
      <c r="R439" s="780">
        <v>6826</v>
      </c>
      <c r="S439" s="780"/>
      <c r="T439" s="12"/>
      <c r="U439" s="12"/>
      <c r="V439" s="12"/>
      <c r="W439" s="12"/>
      <c r="X439" s="12"/>
      <c r="Y439" s="12"/>
      <c r="Z439" s="780">
        <f t="shared" si="145"/>
        <v>6826</v>
      </c>
      <c r="AA439" s="780"/>
      <c r="AB439" s="780"/>
      <c r="AC439" s="787"/>
      <c r="AD439" s="784">
        <f t="shared" si="146"/>
        <v>81912</v>
      </c>
      <c r="AE439" s="788">
        <f t="shared" si="147"/>
        <v>81912</v>
      </c>
      <c r="AF439" s="785">
        <f t="shared" si="148"/>
        <v>-613.39999999999964</v>
      </c>
      <c r="AG439" s="786">
        <f t="shared" si="149"/>
        <v>0</v>
      </c>
      <c r="AH439" s="788">
        <f t="shared" si="150"/>
        <v>0</v>
      </c>
      <c r="AI439" s="786">
        <v>6826</v>
      </c>
    </row>
    <row r="440" spans="1:35" ht="12.75" x14ac:dyDescent="0.2">
      <c r="A440" s="786" t="s">
        <v>2139</v>
      </c>
      <c r="B440" s="779">
        <v>5</v>
      </c>
      <c r="C440" s="780">
        <v>35615</v>
      </c>
      <c r="D440" s="780"/>
      <c r="E440" s="12"/>
      <c r="F440" s="12"/>
      <c r="G440" s="12"/>
      <c r="H440" s="12"/>
      <c r="I440" s="12"/>
      <c r="J440" s="12"/>
      <c r="K440" s="781">
        <f t="shared" si="142"/>
        <v>35615</v>
      </c>
      <c r="L440" s="12"/>
      <c r="M440" s="12"/>
      <c r="N440" s="162"/>
      <c r="O440" s="784">
        <f t="shared" si="143"/>
        <v>427380</v>
      </c>
      <c r="P440" s="785">
        <f t="shared" si="144"/>
        <v>178075</v>
      </c>
      <c r="Q440" s="786">
        <v>4</v>
      </c>
      <c r="R440" s="780">
        <v>31764</v>
      </c>
      <c r="S440" s="780"/>
      <c r="T440" s="12"/>
      <c r="U440" s="12"/>
      <c r="V440" s="12"/>
      <c r="W440" s="12"/>
      <c r="X440" s="12"/>
      <c r="Y440" s="12"/>
      <c r="Z440" s="780">
        <f t="shared" si="145"/>
        <v>31764</v>
      </c>
      <c r="AA440" s="780"/>
      <c r="AB440" s="780"/>
      <c r="AC440" s="787"/>
      <c r="AD440" s="784">
        <f t="shared" si="146"/>
        <v>381168</v>
      </c>
      <c r="AE440" s="788">
        <f t="shared" si="147"/>
        <v>1524672</v>
      </c>
      <c r="AF440" s="785">
        <f t="shared" si="148"/>
        <v>3851</v>
      </c>
      <c r="AG440" s="786">
        <f t="shared" si="149"/>
        <v>1</v>
      </c>
      <c r="AH440" s="788">
        <f t="shared" si="150"/>
        <v>1</v>
      </c>
      <c r="AI440" s="786">
        <v>31764</v>
      </c>
    </row>
    <row r="441" spans="1:35" ht="12.75" x14ac:dyDescent="0.2">
      <c r="A441" s="786" t="s">
        <v>2140</v>
      </c>
      <c r="B441" s="779">
        <v>1</v>
      </c>
      <c r="C441" s="780">
        <v>3393.69</v>
      </c>
      <c r="D441" s="780"/>
      <c r="E441" s="12"/>
      <c r="F441" s="12"/>
      <c r="G441" s="12"/>
      <c r="H441" s="12"/>
      <c r="I441" s="12"/>
      <c r="J441" s="12"/>
      <c r="K441" s="781">
        <f t="shared" si="142"/>
        <v>3393.69</v>
      </c>
      <c r="L441" s="12"/>
      <c r="M441" s="12"/>
      <c r="N441" s="162"/>
      <c r="O441" s="784">
        <f t="shared" si="143"/>
        <v>40724.28</v>
      </c>
      <c r="P441" s="785">
        <f t="shared" si="144"/>
        <v>3393.69</v>
      </c>
      <c r="Q441" s="786">
        <v>1</v>
      </c>
      <c r="R441" s="780">
        <v>1170.4000000000001</v>
      </c>
      <c r="S441" s="780"/>
      <c r="T441" s="12"/>
      <c r="U441" s="12"/>
      <c r="V441" s="12"/>
      <c r="W441" s="12"/>
      <c r="X441" s="12"/>
      <c r="Y441" s="12"/>
      <c r="Z441" s="780">
        <f t="shared" si="145"/>
        <v>1170.4000000000001</v>
      </c>
      <c r="AA441" s="780"/>
      <c r="AB441" s="780"/>
      <c r="AC441" s="787"/>
      <c r="AD441" s="784">
        <f t="shared" si="146"/>
        <v>14044.800000000001</v>
      </c>
      <c r="AE441" s="788">
        <f t="shared" si="147"/>
        <v>14044.800000000001</v>
      </c>
      <c r="AF441" s="785">
        <f t="shared" si="148"/>
        <v>2223.29</v>
      </c>
      <c r="AG441" s="786">
        <f t="shared" si="149"/>
        <v>0</v>
      </c>
      <c r="AH441" s="788">
        <f t="shared" si="150"/>
        <v>0</v>
      </c>
      <c r="AI441" s="786">
        <v>1170.4000000000001</v>
      </c>
    </row>
    <row r="442" spans="1:35" ht="12.75" x14ac:dyDescent="0.2">
      <c r="A442" s="786" t="s">
        <v>2141</v>
      </c>
      <c r="B442" s="779">
        <v>1</v>
      </c>
      <c r="C442" s="780">
        <v>3871.69</v>
      </c>
      <c r="D442" s="780"/>
      <c r="E442" s="12"/>
      <c r="F442" s="12"/>
      <c r="G442" s="12"/>
      <c r="H442" s="12"/>
      <c r="I442" s="12"/>
      <c r="J442" s="12"/>
      <c r="K442" s="781">
        <f t="shared" si="142"/>
        <v>3871.69</v>
      </c>
      <c r="L442" s="12"/>
      <c r="M442" s="12"/>
      <c r="N442" s="162"/>
      <c r="O442" s="784">
        <f t="shared" si="143"/>
        <v>46460.28</v>
      </c>
      <c r="P442" s="785">
        <f t="shared" si="144"/>
        <v>3871.69</v>
      </c>
      <c r="Q442" s="786"/>
      <c r="R442" s="780"/>
      <c r="S442" s="780"/>
      <c r="T442" s="12"/>
      <c r="U442" s="12"/>
      <c r="V442" s="12"/>
      <c r="W442" s="12"/>
      <c r="X442" s="12"/>
      <c r="Y442" s="12"/>
      <c r="Z442" s="780">
        <f t="shared" si="145"/>
        <v>0</v>
      </c>
      <c r="AA442" s="780"/>
      <c r="AB442" s="780"/>
      <c r="AC442" s="787"/>
      <c r="AD442" s="784">
        <f t="shared" si="146"/>
        <v>0</v>
      </c>
      <c r="AE442" s="788">
        <f t="shared" si="147"/>
        <v>0</v>
      </c>
      <c r="AF442" s="785">
        <f t="shared" si="148"/>
        <v>3871.69</v>
      </c>
      <c r="AG442" s="786">
        <f t="shared" si="149"/>
        <v>1</v>
      </c>
      <c r="AH442" s="788">
        <f t="shared" si="150"/>
        <v>1</v>
      </c>
      <c r="AI442" s="786"/>
    </row>
    <row r="443" spans="1:35" ht="12.75" x14ac:dyDescent="0.2">
      <c r="A443" s="786" t="s">
        <v>2142</v>
      </c>
      <c r="B443" s="779">
        <v>4</v>
      </c>
      <c r="C443" s="780">
        <v>15196.6</v>
      </c>
      <c r="D443" s="780"/>
      <c r="E443" s="12"/>
      <c r="F443" s="12"/>
      <c r="G443" s="12"/>
      <c r="H443" s="12"/>
      <c r="I443" s="12"/>
      <c r="J443" s="12"/>
      <c r="K443" s="781">
        <f t="shared" si="142"/>
        <v>15196.6</v>
      </c>
      <c r="L443" s="12"/>
      <c r="M443" s="12"/>
      <c r="N443" s="162"/>
      <c r="O443" s="784">
        <f t="shared" si="143"/>
        <v>182359.2</v>
      </c>
      <c r="P443" s="785">
        <f t="shared" si="144"/>
        <v>60786.400000000001</v>
      </c>
      <c r="Q443" s="786">
        <v>4</v>
      </c>
      <c r="R443" s="780">
        <v>19371.559999999998</v>
      </c>
      <c r="S443" s="780"/>
      <c r="T443" s="12"/>
      <c r="U443" s="12"/>
      <c r="V443" s="12"/>
      <c r="W443" s="12"/>
      <c r="X443" s="12"/>
      <c r="Y443" s="12"/>
      <c r="Z443" s="780">
        <f t="shared" si="145"/>
        <v>19371.559999999998</v>
      </c>
      <c r="AA443" s="780"/>
      <c r="AB443" s="780"/>
      <c r="AC443" s="787"/>
      <c r="AD443" s="784">
        <f t="shared" si="146"/>
        <v>232458.71999999997</v>
      </c>
      <c r="AE443" s="788">
        <f t="shared" si="147"/>
        <v>929834.87999999989</v>
      </c>
      <c r="AF443" s="785">
        <f t="shared" si="148"/>
        <v>-4174.9599999999973</v>
      </c>
      <c r="AG443" s="786">
        <f t="shared" si="149"/>
        <v>0</v>
      </c>
      <c r="AH443" s="788">
        <f t="shared" si="150"/>
        <v>0</v>
      </c>
      <c r="AI443" s="786">
        <v>19371.559999999998</v>
      </c>
    </row>
    <row r="444" spans="1:35" ht="12.75" x14ac:dyDescent="0.2">
      <c r="A444" s="786" t="s">
        <v>2143</v>
      </c>
      <c r="B444" s="779">
        <v>6</v>
      </c>
      <c r="C444" s="780">
        <v>29495.600000000002</v>
      </c>
      <c r="D444" s="780"/>
      <c r="E444" s="12"/>
      <c r="F444" s="12"/>
      <c r="G444" s="12"/>
      <c r="H444" s="12"/>
      <c r="I444" s="12"/>
      <c r="J444" s="12"/>
      <c r="K444" s="781">
        <f t="shared" si="142"/>
        <v>29495.600000000002</v>
      </c>
      <c r="L444" s="12"/>
      <c r="M444" s="12"/>
      <c r="N444" s="162"/>
      <c r="O444" s="784">
        <f t="shared" si="143"/>
        <v>353947.2</v>
      </c>
      <c r="P444" s="785">
        <f t="shared" si="144"/>
        <v>176973.6</v>
      </c>
      <c r="Q444" s="786">
        <v>6</v>
      </c>
      <c r="R444" s="780">
        <v>30783.539999999994</v>
      </c>
      <c r="S444" s="780"/>
      <c r="T444" s="12"/>
      <c r="U444" s="12"/>
      <c r="V444" s="12"/>
      <c r="W444" s="12"/>
      <c r="X444" s="12"/>
      <c r="Y444" s="12"/>
      <c r="Z444" s="780">
        <f t="shared" si="145"/>
        <v>30783.539999999994</v>
      </c>
      <c r="AA444" s="780"/>
      <c r="AB444" s="780"/>
      <c r="AC444" s="787"/>
      <c r="AD444" s="784">
        <f t="shared" si="146"/>
        <v>369402.47999999992</v>
      </c>
      <c r="AE444" s="788">
        <f t="shared" si="147"/>
        <v>2216414.8799999994</v>
      </c>
      <c r="AF444" s="785">
        <f t="shared" si="148"/>
        <v>-1287.9399999999914</v>
      </c>
      <c r="AG444" s="786">
        <f t="shared" si="149"/>
        <v>0</v>
      </c>
      <c r="AH444" s="788">
        <f t="shared" si="150"/>
        <v>0</v>
      </c>
      <c r="AI444" s="786">
        <v>30783.539999999994</v>
      </c>
    </row>
    <row r="445" spans="1:35" ht="12.75" x14ac:dyDescent="0.2">
      <c r="A445" s="786" t="s">
        <v>2144</v>
      </c>
      <c r="B445" s="779">
        <v>1</v>
      </c>
      <c r="C445" s="780">
        <v>5486.5899999999992</v>
      </c>
      <c r="D445" s="780"/>
      <c r="E445" s="12"/>
      <c r="F445" s="12"/>
      <c r="G445" s="12"/>
      <c r="H445" s="12"/>
      <c r="I445" s="12"/>
      <c r="J445" s="12"/>
      <c r="K445" s="781">
        <f t="shared" si="142"/>
        <v>5486.5899999999992</v>
      </c>
      <c r="L445" s="12"/>
      <c r="M445" s="12"/>
      <c r="N445" s="162"/>
      <c r="O445" s="784">
        <f t="shared" si="143"/>
        <v>65839.079999999987</v>
      </c>
      <c r="P445" s="785">
        <f t="shared" si="144"/>
        <v>5486.5899999999992</v>
      </c>
      <c r="Q445" s="786">
        <v>1</v>
      </c>
      <c r="R445" s="780">
        <v>5993.5</v>
      </c>
      <c r="S445" s="780"/>
      <c r="T445" s="12"/>
      <c r="U445" s="12"/>
      <c r="V445" s="12"/>
      <c r="W445" s="12"/>
      <c r="X445" s="12"/>
      <c r="Y445" s="12"/>
      <c r="Z445" s="780">
        <f t="shared" si="145"/>
        <v>5993.5</v>
      </c>
      <c r="AA445" s="780"/>
      <c r="AB445" s="780"/>
      <c r="AC445" s="787"/>
      <c r="AD445" s="784">
        <f t="shared" si="146"/>
        <v>71922</v>
      </c>
      <c r="AE445" s="788">
        <f t="shared" si="147"/>
        <v>71922</v>
      </c>
      <c r="AF445" s="785">
        <f t="shared" si="148"/>
        <v>-506.91000000000076</v>
      </c>
      <c r="AG445" s="786">
        <f t="shared" si="149"/>
        <v>0</v>
      </c>
      <c r="AH445" s="788">
        <f t="shared" si="150"/>
        <v>0</v>
      </c>
      <c r="AI445" s="786">
        <v>5993.5</v>
      </c>
    </row>
    <row r="446" spans="1:35" ht="12.75" x14ac:dyDescent="0.2">
      <c r="A446" s="786" t="s">
        <v>2145</v>
      </c>
      <c r="B446" s="779">
        <v>2</v>
      </c>
      <c r="C446" s="780">
        <v>9858.77</v>
      </c>
      <c r="D446" s="780"/>
      <c r="E446" s="12"/>
      <c r="F446" s="12"/>
      <c r="G446" s="12"/>
      <c r="H446" s="12"/>
      <c r="I446" s="12"/>
      <c r="J446" s="12"/>
      <c r="K446" s="781">
        <f t="shared" si="142"/>
        <v>9858.77</v>
      </c>
      <c r="L446" s="12"/>
      <c r="M446" s="12"/>
      <c r="N446" s="162"/>
      <c r="O446" s="784">
        <f t="shared" si="143"/>
        <v>118305.24</v>
      </c>
      <c r="P446" s="785">
        <f t="shared" si="144"/>
        <v>19717.54</v>
      </c>
      <c r="Q446" s="786">
        <v>2</v>
      </c>
      <c r="R446" s="780">
        <v>10457.9</v>
      </c>
      <c r="S446" s="780"/>
      <c r="T446" s="12"/>
      <c r="U446" s="12"/>
      <c r="V446" s="12"/>
      <c r="W446" s="12"/>
      <c r="X446" s="12"/>
      <c r="Y446" s="12"/>
      <c r="Z446" s="780">
        <f t="shared" si="145"/>
        <v>10457.9</v>
      </c>
      <c r="AA446" s="780"/>
      <c r="AB446" s="780"/>
      <c r="AC446" s="787"/>
      <c r="AD446" s="784">
        <f t="shared" si="146"/>
        <v>125494.79999999999</v>
      </c>
      <c r="AE446" s="788">
        <f t="shared" si="147"/>
        <v>250989.59999999998</v>
      </c>
      <c r="AF446" s="785">
        <f t="shared" si="148"/>
        <v>-599.1299999999992</v>
      </c>
      <c r="AG446" s="786">
        <f t="shared" si="149"/>
        <v>0</v>
      </c>
      <c r="AH446" s="788">
        <f t="shared" si="150"/>
        <v>0</v>
      </c>
      <c r="AI446" s="786">
        <v>10457.9</v>
      </c>
    </row>
    <row r="447" spans="1:35" ht="12.75" x14ac:dyDescent="0.2">
      <c r="A447" s="786" t="s">
        <v>2146</v>
      </c>
      <c r="B447" s="779">
        <v>12</v>
      </c>
      <c r="C447" s="780">
        <v>53661.900000000009</v>
      </c>
      <c r="D447" s="780"/>
      <c r="E447" s="12"/>
      <c r="F447" s="12"/>
      <c r="G447" s="12"/>
      <c r="H447" s="12"/>
      <c r="I447" s="12"/>
      <c r="J447" s="12"/>
      <c r="K447" s="781">
        <f t="shared" si="142"/>
        <v>53661.900000000009</v>
      </c>
      <c r="L447" s="12"/>
      <c r="M447" s="12"/>
      <c r="N447" s="162"/>
      <c r="O447" s="784">
        <f t="shared" si="143"/>
        <v>643942.80000000005</v>
      </c>
      <c r="P447" s="785">
        <f t="shared" si="144"/>
        <v>643942.80000000005</v>
      </c>
      <c r="Q447" s="786">
        <v>12</v>
      </c>
      <c r="R447" s="780">
        <v>55973.23</v>
      </c>
      <c r="S447" s="780"/>
      <c r="T447" s="12"/>
      <c r="U447" s="12"/>
      <c r="V447" s="12"/>
      <c r="W447" s="12"/>
      <c r="X447" s="12"/>
      <c r="Y447" s="12"/>
      <c r="Z447" s="780">
        <f t="shared" si="145"/>
        <v>55973.23</v>
      </c>
      <c r="AA447" s="780"/>
      <c r="AB447" s="780"/>
      <c r="AC447" s="787"/>
      <c r="AD447" s="784">
        <f t="shared" si="146"/>
        <v>671678.76</v>
      </c>
      <c r="AE447" s="788">
        <f t="shared" si="147"/>
        <v>8060145.1200000001</v>
      </c>
      <c r="AF447" s="785">
        <f t="shared" si="148"/>
        <v>-2311.3299999999945</v>
      </c>
      <c r="AG447" s="786">
        <f t="shared" si="149"/>
        <v>0</v>
      </c>
      <c r="AH447" s="788">
        <f t="shared" si="150"/>
        <v>0</v>
      </c>
      <c r="AI447" s="786">
        <v>55973.23</v>
      </c>
    </row>
    <row r="448" spans="1:35" ht="12.75" x14ac:dyDescent="0.2">
      <c r="A448" s="786" t="s">
        <v>2147</v>
      </c>
      <c r="B448" s="779">
        <v>5</v>
      </c>
      <c r="C448" s="780">
        <v>23816.600000000002</v>
      </c>
      <c r="D448" s="780"/>
      <c r="E448" s="12"/>
      <c r="F448" s="12"/>
      <c r="G448" s="12"/>
      <c r="H448" s="12"/>
      <c r="I448" s="12"/>
      <c r="J448" s="12"/>
      <c r="K448" s="781">
        <f t="shared" si="142"/>
        <v>23816.600000000002</v>
      </c>
      <c r="L448" s="12"/>
      <c r="M448" s="12"/>
      <c r="N448" s="162"/>
      <c r="O448" s="784">
        <f t="shared" si="143"/>
        <v>285799.2</v>
      </c>
      <c r="P448" s="785">
        <f t="shared" si="144"/>
        <v>119083.00000000001</v>
      </c>
      <c r="Q448" s="786">
        <v>5</v>
      </c>
      <c r="R448" s="780">
        <v>25293.27</v>
      </c>
      <c r="S448" s="780"/>
      <c r="T448" s="12"/>
      <c r="U448" s="12"/>
      <c r="V448" s="12"/>
      <c r="W448" s="12"/>
      <c r="X448" s="12"/>
      <c r="Y448" s="12"/>
      <c r="Z448" s="780">
        <f t="shared" si="145"/>
        <v>25293.27</v>
      </c>
      <c r="AA448" s="780"/>
      <c r="AB448" s="780"/>
      <c r="AC448" s="787"/>
      <c r="AD448" s="784">
        <f t="shared" si="146"/>
        <v>303519.24</v>
      </c>
      <c r="AE448" s="788">
        <f t="shared" si="147"/>
        <v>1517596.2</v>
      </c>
      <c r="AF448" s="785">
        <f t="shared" si="148"/>
        <v>-1476.6699999999983</v>
      </c>
      <c r="AG448" s="786">
        <f t="shared" si="149"/>
        <v>0</v>
      </c>
      <c r="AH448" s="788">
        <f t="shared" si="150"/>
        <v>0</v>
      </c>
      <c r="AI448" s="786">
        <v>25293.27</v>
      </c>
    </row>
    <row r="449" spans="1:35" ht="12.75" x14ac:dyDescent="0.2">
      <c r="A449" s="786" t="s">
        <v>2148</v>
      </c>
      <c r="B449" s="779">
        <v>1</v>
      </c>
      <c r="C449" s="780">
        <v>5243.25</v>
      </c>
      <c r="D449" s="780"/>
      <c r="E449" s="12"/>
      <c r="F449" s="12"/>
      <c r="G449" s="12"/>
      <c r="H449" s="12"/>
      <c r="I449" s="12"/>
      <c r="J449" s="12"/>
      <c r="K449" s="781">
        <f t="shared" si="142"/>
        <v>5243.25</v>
      </c>
      <c r="L449" s="12"/>
      <c r="M449" s="12"/>
      <c r="N449" s="162"/>
      <c r="O449" s="784">
        <f t="shared" si="143"/>
        <v>62919</v>
      </c>
      <c r="P449" s="785">
        <f t="shared" si="144"/>
        <v>5243.25</v>
      </c>
      <c r="Q449" s="786">
        <v>1</v>
      </c>
      <c r="R449" s="780">
        <v>5703.5</v>
      </c>
      <c r="S449" s="780"/>
      <c r="T449" s="12"/>
      <c r="U449" s="12"/>
      <c r="V449" s="12"/>
      <c r="W449" s="12"/>
      <c r="X449" s="12"/>
      <c r="Y449" s="12"/>
      <c r="Z449" s="780">
        <f t="shared" si="145"/>
        <v>5703.5</v>
      </c>
      <c r="AA449" s="780"/>
      <c r="AB449" s="780"/>
      <c r="AC449" s="787"/>
      <c r="AD449" s="784">
        <f t="shared" si="146"/>
        <v>68442</v>
      </c>
      <c r="AE449" s="788">
        <f t="shared" si="147"/>
        <v>68442</v>
      </c>
      <c r="AF449" s="785">
        <f t="shared" si="148"/>
        <v>-460.25</v>
      </c>
      <c r="AG449" s="786">
        <f t="shared" si="149"/>
        <v>0</v>
      </c>
      <c r="AH449" s="788">
        <f t="shared" si="150"/>
        <v>0</v>
      </c>
      <c r="AI449" s="786">
        <v>5703.5</v>
      </c>
    </row>
    <row r="450" spans="1:35" ht="12.75" x14ac:dyDescent="0.2">
      <c r="A450" s="786" t="s">
        <v>2149</v>
      </c>
      <c r="B450" s="779">
        <v>8</v>
      </c>
      <c r="C450" s="780">
        <v>23448</v>
      </c>
      <c r="D450" s="780"/>
      <c r="E450" s="12"/>
      <c r="F450" s="12"/>
      <c r="G450" s="12"/>
      <c r="H450" s="12"/>
      <c r="I450" s="12"/>
      <c r="J450" s="12"/>
      <c r="K450" s="781">
        <f t="shared" si="142"/>
        <v>23448</v>
      </c>
      <c r="L450" s="12"/>
      <c r="M450" s="12"/>
      <c r="N450" s="162"/>
      <c r="O450" s="784">
        <f t="shared" si="143"/>
        <v>281376</v>
      </c>
      <c r="P450" s="785">
        <f t="shared" si="144"/>
        <v>187584</v>
      </c>
      <c r="Q450" s="786">
        <v>7</v>
      </c>
      <c r="R450" s="780">
        <v>23408</v>
      </c>
      <c r="S450" s="780"/>
      <c r="T450" s="12"/>
      <c r="U450" s="12"/>
      <c r="V450" s="12"/>
      <c r="W450" s="12"/>
      <c r="X450" s="12"/>
      <c r="Y450" s="12"/>
      <c r="Z450" s="780">
        <f t="shared" si="145"/>
        <v>23408</v>
      </c>
      <c r="AA450" s="780"/>
      <c r="AB450" s="780"/>
      <c r="AC450" s="787"/>
      <c r="AD450" s="784">
        <f t="shared" si="146"/>
        <v>280896</v>
      </c>
      <c r="AE450" s="788">
        <f t="shared" si="147"/>
        <v>1966272</v>
      </c>
      <c r="AF450" s="785">
        <f t="shared" si="148"/>
        <v>40</v>
      </c>
      <c r="AG450" s="786">
        <f t="shared" si="149"/>
        <v>1</v>
      </c>
      <c r="AH450" s="788">
        <f t="shared" si="150"/>
        <v>1</v>
      </c>
      <c r="AI450" s="786">
        <v>23408</v>
      </c>
    </row>
    <row r="451" spans="1:35" ht="12.75" x14ac:dyDescent="0.2">
      <c r="A451" s="786" t="s">
        <v>2150</v>
      </c>
      <c r="B451" s="779">
        <v>1</v>
      </c>
      <c r="C451" s="780">
        <v>3217</v>
      </c>
      <c r="D451" s="780"/>
      <c r="E451" s="12"/>
      <c r="F451" s="12"/>
      <c r="G451" s="12"/>
      <c r="H451" s="12"/>
      <c r="I451" s="12"/>
      <c r="J451" s="12"/>
      <c r="K451" s="781">
        <f t="shared" si="142"/>
        <v>3217</v>
      </c>
      <c r="L451" s="12"/>
      <c r="M451" s="12"/>
      <c r="N451" s="162"/>
      <c r="O451" s="784">
        <f t="shared" si="143"/>
        <v>38604</v>
      </c>
      <c r="P451" s="785">
        <f t="shared" si="144"/>
        <v>3217</v>
      </c>
      <c r="Q451" s="786">
        <v>1</v>
      </c>
      <c r="R451" s="780">
        <v>3660</v>
      </c>
      <c r="S451" s="780"/>
      <c r="T451" s="12"/>
      <c r="U451" s="12"/>
      <c r="V451" s="12"/>
      <c r="W451" s="12"/>
      <c r="X451" s="12"/>
      <c r="Y451" s="12"/>
      <c r="Z451" s="780">
        <f t="shared" si="145"/>
        <v>3660</v>
      </c>
      <c r="AA451" s="780"/>
      <c r="AB451" s="780"/>
      <c r="AC451" s="787"/>
      <c r="AD451" s="784">
        <f t="shared" si="146"/>
        <v>43920</v>
      </c>
      <c r="AE451" s="788">
        <f t="shared" si="147"/>
        <v>43920</v>
      </c>
      <c r="AF451" s="785">
        <f t="shared" si="148"/>
        <v>-443</v>
      </c>
      <c r="AG451" s="786">
        <f t="shared" si="149"/>
        <v>0</v>
      </c>
      <c r="AH451" s="788">
        <f t="shared" si="150"/>
        <v>0</v>
      </c>
      <c r="AI451" s="786">
        <v>3660</v>
      </c>
    </row>
    <row r="452" spans="1:35" ht="12.75" x14ac:dyDescent="0.2">
      <c r="A452" s="786" t="s">
        <v>2151</v>
      </c>
      <c r="B452" s="779">
        <v>1</v>
      </c>
      <c r="C452" s="780">
        <v>3875</v>
      </c>
      <c r="D452" s="780"/>
      <c r="E452" s="12"/>
      <c r="F452" s="12"/>
      <c r="G452" s="12"/>
      <c r="H452" s="12"/>
      <c r="I452" s="12"/>
      <c r="J452" s="12"/>
      <c r="K452" s="781">
        <f t="shared" si="142"/>
        <v>3875</v>
      </c>
      <c r="L452" s="12"/>
      <c r="M452" s="12"/>
      <c r="N452" s="162"/>
      <c r="O452" s="784">
        <f t="shared" si="143"/>
        <v>46500</v>
      </c>
      <c r="P452" s="785">
        <f t="shared" si="144"/>
        <v>3875</v>
      </c>
      <c r="Q452" s="786">
        <v>1</v>
      </c>
      <c r="R452" s="780">
        <v>4471</v>
      </c>
      <c r="S452" s="780"/>
      <c r="T452" s="12"/>
      <c r="U452" s="12"/>
      <c r="V452" s="12"/>
      <c r="W452" s="12"/>
      <c r="X452" s="12"/>
      <c r="Y452" s="12"/>
      <c r="Z452" s="780">
        <f t="shared" si="145"/>
        <v>4471</v>
      </c>
      <c r="AA452" s="780"/>
      <c r="AB452" s="780"/>
      <c r="AC452" s="787"/>
      <c r="AD452" s="784">
        <f t="shared" si="146"/>
        <v>53652</v>
      </c>
      <c r="AE452" s="788">
        <f t="shared" si="147"/>
        <v>53652</v>
      </c>
      <c r="AF452" s="785">
        <f t="shared" si="148"/>
        <v>-596</v>
      </c>
      <c r="AG452" s="786">
        <f t="shared" si="149"/>
        <v>0</v>
      </c>
      <c r="AH452" s="788">
        <f t="shared" si="150"/>
        <v>0</v>
      </c>
      <c r="AI452" s="786">
        <v>4471</v>
      </c>
    </row>
    <row r="453" spans="1:35" ht="12.75" x14ac:dyDescent="0.2">
      <c r="A453" s="786" t="s">
        <v>2152</v>
      </c>
      <c r="B453" s="779">
        <v>1</v>
      </c>
      <c r="C453" s="780">
        <v>2931</v>
      </c>
      <c r="D453" s="780"/>
      <c r="E453" s="12"/>
      <c r="F453" s="12"/>
      <c r="G453" s="12"/>
      <c r="H453" s="12"/>
      <c r="I453" s="12"/>
      <c r="J453" s="12"/>
      <c r="K453" s="781">
        <f t="shared" si="142"/>
        <v>2931</v>
      </c>
      <c r="L453" s="12"/>
      <c r="M453" s="12"/>
      <c r="N453" s="162"/>
      <c r="O453" s="784">
        <f t="shared" si="143"/>
        <v>35172</v>
      </c>
      <c r="P453" s="785">
        <f t="shared" si="144"/>
        <v>2931</v>
      </c>
      <c r="Q453" s="786"/>
      <c r="R453" s="780"/>
      <c r="S453" s="780"/>
      <c r="T453" s="12"/>
      <c r="U453" s="12"/>
      <c r="V453" s="12"/>
      <c r="W453" s="12"/>
      <c r="X453" s="12"/>
      <c r="Y453" s="12"/>
      <c r="Z453" s="780">
        <f t="shared" si="145"/>
        <v>0</v>
      </c>
      <c r="AA453" s="780"/>
      <c r="AB453" s="780"/>
      <c r="AC453" s="787"/>
      <c r="AD453" s="784">
        <f t="shared" si="146"/>
        <v>0</v>
      </c>
      <c r="AE453" s="788">
        <f t="shared" si="147"/>
        <v>0</v>
      </c>
      <c r="AF453" s="785">
        <f t="shared" si="148"/>
        <v>2931</v>
      </c>
      <c r="AG453" s="786">
        <f t="shared" si="149"/>
        <v>1</v>
      </c>
      <c r="AH453" s="788">
        <f t="shared" si="150"/>
        <v>1</v>
      </c>
      <c r="AI453" s="786"/>
    </row>
    <row r="454" spans="1:35" ht="12.75" x14ac:dyDescent="0.2">
      <c r="A454" s="786" t="s">
        <v>2153</v>
      </c>
      <c r="B454" s="779">
        <v>1</v>
      </c>
      <c r="C454" s="780">
        <v>3217</v>
      </c>
      <c r="D454" s="780"/>
      <c r="E454" s="12"/>
      <c r="F454" s="12"/>
      <c r="G454" s="12"/>
      <c r="H454" s="12"/>
      <c r="I454" s="12"/>
      <c r="J454" s="12"/>
      <c r="K454" s="781">
        <f t="shared" si="142"/>
        <v>3217</v>
      </c>
      <c r="L454" s="12"/>
      <c r="M454" s="12"/>
      <c r="N454" s="162"/>
      <c r="O454" s="784">
        <f t="shared" si="143"/>
        <v>38604</v>
      </c>
      <c r="P454" s="785">
        <f t="shared" si="144"/>
        <v>3217</v>
      </c>
      <c r="Q454" s="786">
        <v>1</v>
      </c>
      <c r="R454" s="780">
        <v>3660</v>
      </c>
      <c r="S454" s="780"/>
      <c r="T454" s="12"/>
      <c r="U454" s="12"/>
      <c r="V454" s="12"/>
      <c r="W454" s="12"/>
      <c r="X454" s="12"/>
      <c r="Y454" s="12"/>
      <c r="Z454" s="780">
        <f t="shared" si="145"/>
        <v>3660</v>
      </c>
      <c r="AA454" s="780"/>
      <c r="AB454" s="780"/>
      <c r="AC454" s="787"/>
      <c r="AD454" s="784">
        <f t="shared" si="146"/>
        <v>43920</v>
      </c>
      <c r="AE454" s="788">
        <f t="shared" si="147"/>
        <v>43920</v>
      </c>
      <c r="AF454" s="785">
        <f t="shared" si="148"/>
        <v>-443</v>
      </c>
      <c r="AG454" s="786">
        <f t="shared" si="149"/>
        <v>0</v>
      </c>
      <c r="AH454" s="788">
        <f t="shared" si="150"/>
        <v>0</v>
      </c>
      <c r="AI454" s="786">
        <v>3660</v>
      </c>
    </row>
    <row r="455" spans="1:35" ht="12.75" x14ac:dyDescent="0.2">
      <c r="A455" s="786" t="s">
        <v>2154</v>
      </c>
      <c r="B455" s="779">
        <v>4</v>
      </c>
      <c r="C455" s="780">
        <v>16535.919999999998</v>
      </c>
      <c r="D455" s="780"/>
      <c r="E455" s="12"/>
      <c r="F455" s="12"/>
      <c r="G455" s="12"/>
      <c r="H455" s="12"/>
      <c r="I455" s="12"/>
      <c r="J455" s="12"/>
      <c r="K455" s="781">
        <f t="shared" si="142"/>
        <v>16535.919999999998</v>
      </c>
      <c r="L455" s="12"/>
      <c r="M455" s="12"/>
      <c r="N455" s="162"/>
      <c r="O455" s="784">
        <f t="shared" si="143"/>
        <v>198431.03999999998</v>
      </c>
      <c r="P455" s="785">
        <f t="shared" si="144"/>
        <v>66143.679999999993</v>
      </c>
      <c r="Q455" s="786">
        <v>4</v>
      </c>
      <c r="R455" s="780">
        <v>17847.66</v>
      </c>
      <c r="S455" s="780"/>
      <c r="T455" s="12"/>
      <c r="U455" s="12"/>
      <c r="V455" s="12"/>
      <c r="W455" s="12"/>
      <c r="X455" s="12"/>
      <c r="Y455" s="12"/>
      <c r="Z455" s="780">
        <f t="shared" si="145"/>
        <v>17847.66</v>
      </c>
      <c r="AA455" s="780"/>
      <c r="AB455" s="780"/>
      <c r="AC455" s="787"/>
      <c r="AD455" s="784">
        <f t="shared" si="146"/>
        <v>214171.91999999998</v>
      </c>
      <c r="AE455" s="788">
        <f t="shared" si="147"/>
        <v>856687.67999999993</v>
      </c>
      <c r="AF455" s="785">
        <f t="shared" si="148"/>
        <v>-1311.7400000000016</v>
      </c>
      <c r="AG455" s="786">
        <f t="shared" si="149"/>
        <v>0</v>
      </c>
      <c r="AH455" s="788">
        <f t="shared" si="150"/>
        <v>0</v>
      </c>
      <c r="AI455" s="786">
        <v>17847.66</v>
      </c>
    </row>
    <row r="456" spans="1:35" ht="12.75" x14ac:dyDescent="0.2">
      <c r="A456" s="786" t="s">
        <v>2155</v>
      </c>
      <c r="B456" s="779">
        <v>2</v>
      </c>
      <c r="C456" s="780">
        <v>8809.119999999999</v>
      </c>
      <c r="D456" s="780"/>
      <c r="E456" s="12"/>
      <c r="F456" s="12"/>
      <c r="G456" s="12"/>
      <c r="H456" s="12"/>
      <c r="I456" s="12"/>
      <c r="J456" s="12"/>
      <c r="K456" s="781">
        <f t="shared" si="142"/>
        <v>8809.119999999999</v>
      </c>
      <c r="L456" s="12"/>
      <c r="M456" s="12"/>
      <c r="N456" s="162"/>
      <c r="O456" s="784">
        <f t="shared" si="143"/>
        <v>105709.43999999999</v>
      </c>
      <c r="P456" s="785">
        <f t="shared" si="144"/>
        <v>17618.239999999998</v>
      </c>
      <c r="Q456" s="786">
        <v>2</v>
      </c>
      <c r="R456" s="780">
        <v>7320</v>
      </c>
      <c r="S456" s="780"/>
      <c r="T456" s="12"/>
      <c r="U456" s="12"/>
      <c r="V456" s="12"/>
      <c r="W456" s="12"/>
      <c r="X456" s="12"/>
      <c r="Y456" s="12"/>
      <c r="Z456" s="780">
        <f t="shared" si="145"/>
        <v>7320</v>
      </c>
      <c r="AA456" s="780"/>
      <c r="AB456" s="780"/>
      <c r="AC456" s="787"/>
      <c r="AD456" s="784">
        <f t="shared" si="146"/>
        <v>87840</v>
      </c>
      <c r="AE456" s="788">
        <f t="shared" si="147"/>
        <v>175680</v>
      </c>
      <c r="AF456" s="785">
        <f t="shared" si="148"/>
        <v>1489.119999999999</v>
      </c>
      <c r="AG456" s="786">
        <f t="shared" si="149"/>
        <v>0</v>
      </c>
      <c r="AH456" s="788">
        <f t="shared" si="150"/>
        <v>0</v>
      </c>
      <c r="AI456" s="786">
        <v>7320</v>
      </c>
    </row>
    <row r="457" spans="1:35" ht="12.75" x14ac:dyDescent="0.2">
      <c r="A457" s="786" t="s">
        <v>2156</v>
      </c>
      <c r="B457" s="779">
        <v>19</v>
      </c>
      <c r="C457" s="780">
        <v>60208.68</v>
      </c>
      <c r="D457" s="780"/>
      <c r="E457" s="12"/>
      <c r="F457" s="12"/>
      <c r="G457" s="12"/>
      <c r="H457" s="12"/>
      <c r="I457" s="12"/>
      <c r="J457" s="12"/>
      <c r="K457" s="781">
        <f t="shared" si="142"/>
        <v>60208.68</v>
      </c>
      <c r="L457" s="12"/>
      <c r="M457" s="12"/>
      <c r="N457" s="162"/>
      <c r="O457" s="784">
        <f t="shared" si="143"/>
        <v>722504.16</v>
      </c>
      <c r="P457" s="785">
        <f t="shared" si="144"/>
        <v>1143964.92</v>
      </c>
      <c r="Q457" s="786">
        <v>19</v>
      </c>
      <c r="R457" s="780">
        <v>67149.89</v>
      </c>
      <c r="S457" s="780"/>
      <c r="T457" s="12"/>
      <c r="U457" s="12"/>
      <c r="V457" s="12"/>
      <c r="W457" s="12"/>
      <c r="X457" s="12"/>
      <c r="Y457" s="12"/>
      <c r="Z457" s="780">
        <f t="shared" si="145"/>
        <v>67149.89</v>
      </c>
      <c r="AA457" s="780"/>
      <c r="AB457" s="780"/>
      <c r="AC457" s="787"/>
      <c r="AD457" s="784">
        <f t="shared" si="146"/>
        <v>805798.67999999993</v>
      </c>
      <c r="AE457" s="788">
        <f t="shared" si="147"/>
        <v>15310174.919999998</v>
      </c>
      <c r="AF457" s="785">
        <f t="shared" si="148"/>
        <v>-6941.2099999999991</v>
      </c>
      <c r="AG457" s="786">
        <f t="shared" si="149"/>
        <v>0</v>
      </c>
      <c r="AH457" s="788">
        <f t="shared" si="150"/>
        <v>0</v>
      </c>
      <c r="AI457" s="786">
        <v>67149.89</v>
      </c>
    </row>
    <row r="458" spans="1:35" ht="12.75" x14ac:dyDescent="0.2">
      <c r="A458" s="786" t="s">
        <v>2157</v>
      </c>
      <c r="B458" s="779">
        <v>3</v>
      </c>
      <c r="C458" s="780">
        <v>11974.509999999998</v>
      </c>
      <c r="D458" s="780"/>
      <c r="E458" s="12"/>
      <c r="F458" s="12"/>
      <c r="G458" s="12"/>
      <c r="H458" s="12"/>
      <c r="I458" s="12"/>
      <c r="J458" s="12"/>
      <c r="K458" s="781">
        <f t="shared" si="142"/>
        <v>11974.509999999998</v>
      </c>
      <c r="L458" s="12"/>
      <c r="M458" s="12"/>
      <c r="N458" s="162"/>
      <c r="O458" s="784">
        <f t="shared" si="143"/>
        <v>143694.12</v>
      </c>
      <c r="P458" s="785">
        <f t="shared" si="144"/>
        <v>35923.53</v>
      </c>
      <c r="Q458" s="786">
        <v>3</v>
      </c>
      <c r="R458" s="780">
        <v>13301.119999999999</v>
      </c>
      <c r="S458" s="780"/>
      <c r="T458" s="12"/>
      <c r="U458" s="12"/>
      <c r="V458" s="12"/>
      <c r="W458" s="12"/>
      <c r="X458" s="12"/>
      <c r="Y458" s="12"/>
      <c r="Z458" s="780">
        <f t="shared" si="145"/>
        <v>13301.119999999999</v>
      </c>
      <c r="AA458" s="780"/>
      <c r="AB458" s="780"/>
      <c r="AC458" s="787"/>
      <c r="AD458" s="784">
        <f t="shared" si="146"/>
        <v>159613.44</v>
      </c>
      <c r="AE458" s="788">
        <f t="shared" si="147"/>
        <v>478840.32000000001</v>
      </c>
      <c r="AF458" s="785">
        <f t="shared" si="148"/>
        <v>-1326.6100000000006</v>
      </c>
      <c r="AG458" s="786">
        <f t="shared" si="149"/>
        <v>0</v>
      </c>
      <c r="AH458" s="788">
        <f t="shared" si="150"/>
        <v>0</v>
      </c>
      <c r="AI458" s="786">
        <v>13301.119999999999</v>
      </c>
    </row>
    <row r="459" spans="1:35" ht="12.75" x14ac:dyDescent="0.2">
      <c r="A459" s="786" t="s">
        <v>2158</v>
      </c>
      <c r="B459" s="779">
        <v>3</v>
      </c>
      <c r="C459" s="780">
        <v>12052.32</v>
      </c>
      <c r="D459" s="780"/>
      <c r="E459" s="12"/>
      <c r="F459" s="12"/>
      <c r="G459" s="12"/>
      <c r="H459" s="12"/>
      <c r="I459" s="12"/>
      <c r="J459" s="12"/>
      <c r="K459" s="781">
        <f t="shared" si="142"/>
        <v>12052.32</v>
      </c>
      <c r="L459" s="12"/>
      <c r="M459" s="12"/>
      <c r="N459" s="162"/>
      <c r="O459" s="784">
        <f t="shared" si="143"/>
        <v>144627.84</v>
      </c>
      <c r="P459" s="785">
        <f t="shared" si="144"/>
        <v>36156.959999999999</v>
      </c>
      <c r="Q459" s="786">
        <v>3</v>
      </c>
      <c r="R459" s="780">
        <v>13891.619999999999</v>
      </c>
      <c r="S459" s="780"/>
      <c r="T459" s="12"/>
      <c r="U459" s="12"/>
      <c r="V459" s="12"/>
      <c r="W459" s="12"/>
      <c r="X459" s="12"/>
      <c r="Y459" s="12"/>
      <c r="Z459" s="780">
        <f t="shared" si="145"/>
        <v>13891.619999999999</v>
      </c>
      <c r="AA459" s="780"/>
      <c r="AB459" s="780"/>
      <c r="AC459" s="787"/>
      <c r="AD459" s="784">
        <f t="shared" si="146"/>
        <v>166699.44</v>
      </c>
      <c r="AE459" s="788">
        <f t="shared" si="147"/>
        <v>500098.32</v>
      </c>
      <c r="AF459" s="785">
        <f t="shared" si="148"/>
        <v>-1839.2999999999993</v>
      </c>
      <c r="AG459" s="786">
        <f t="shared" si="149"/>
        <v>0</v>
      </c>
      <c r="AH459" s="788">
        <f t="shared" si="150"/>
        <v>0</v>
      </c>
      <c r="AI459" s="786">
        <v>13891.619999999999</v>
      </c>
    </row>
    <row r="460" spans="1:35" ht="12.75" x14ac:dyDescent="0.2">
      <c r="A460" s="786"/>
      <c r="B460" s="779"/>
      <c r="C460" s="780"/>
      <c r="D460" s="780"/>
      <c r="E460" s="12"/>
      <c r="F460" s="12"/>
      <c r="G460" s="12"/>
      <c r="H460" s="12"/>
      <c r="I460" s="12"/>
      <c r="J460" s="12"/>
      <c r="K460" s="780"/>
      <c r="L460" s="12"/>
      <c r="M460" s="12"/>
      <c r="N460" s="162"/>
      <c r="O460" s="784"/>
      <c r="P460" s="788"/>
      <c r="Q460" s="786"/>
      <c r="R460" s="780"/>
      <c r="S460" s="780"/>
      <c r="T460" s="12"/>
      <c r="U460" s="12"/>
      <c r="V460" s="12"/>
      <c r="W460" s="12"/>
      <c r="X460" s="12"/>
      <c r="Y460" s="12"/>
      <c r="Z460" s="780"/>
      <c r="AA460" s="780"/>
      <c r="AB460" s="780"/>
      <c r="AC460" s="787"/>
      <c r="AD460" s="784"/>
      <c r="AE460" s="788"/>
      <c r="AF460" s="788"/>
      <c r="AG460" s="786"/>
      <c r="AH460" s="788"/>
      <c r="AI460" s="786"/>
    </row>
    <row r="461" spans="1:35" ht="12.75" x14ac:dyDescent="0.2">
      <c r="A461" s="786" t="s">
        <v>58</v>
      </c>
      <c r="B461" s="779"/>
      <c r="C461" s="780"/>
      <c r="D461" s="780"/>
      <c r="E461" s="12"/>
      <c r="F461" s="12"/>
      <c r="G461" s="12"/>
      <c r="H461" s="12"/>
      <c r="I461" s="12"/>
      <c r="J461" s="12"/>
      <c r="K461" s="780"/>
      <c r="L461" s="12"/>
      <c r="M461" s="12"/>
      <c r="N461" s="162"/>
      <c r="O461" s="784"/>
      <c r="P461" s="788"/>
      <c r="Q461" s="786"/>
      <c r="R461" s="780"/>
      <c r="S461" s="780"/>
      <c r="T461" s="12"/>
      <c r="U461" s="12"/>
      <c r="V461" s="12"/>
      <c r="W461" s="12"/>
      <c r="X461" s="12"/>
      <c r="Y461" s="12"/>
      <c r="Z461" s="780"/>
      <c r="AA461" s="780"/>
      <c r="AB461" s="780"/>
      <c r="AC461" s="787"/>
      <c r="AD461" s="784"/>
      <c r="AE461" s="788"/>
      <c r="AF461" s="788"/>
      <c r="AG461" s="786"/>
      <c r="AH461" s="788"/>
      <c r="AI461" s="786"/>
    </row>
    <row r="462" spans="1:35" ht="12.75" x14ac:dyDescent="0.2">
      <c r="A462" s="794" t="s">
        <v>60</v>
      </c>
      <c r="B462" s="795"/>
      <c r="C462" s="796"/>
      <c r="D462" s="796"/>
      <c r="E462" s="12"/>
      <c r="F462" s="12"/>
      <c r="G462" s="12"/>
      <c r="H462" s="12"/>
      <c r="I462" s="12"/>
      <c r="J462" s="12"/>
      <c r="K462" s="796"/>
      <c r="L462" s="12"/>
      <c r="M462" s="12"/>
      <c r="N462" s="162"/>
      <c r="O462" s="797"/>
      <c r="P462" s="798"/>
      <c r="Q462" s="794"/>
      <c r="R462" s="796"/>
      <c r="S462" s="796"/>
      <c r="T462" s="12"/>
      <c r="U462" s="12"/>
      <c r="V462" s="12"/>
      <c r="W462" s="12"/>
      <c r="X462" s="12"/>
      <c r="Y462" s="12"/>
      <c r="Z462" s="796"/>
      <c r="AA462" s="796"/>
      <c r="AB462" s="796"/>
      <c r="AC462" s="799"/>
      <c r="AD462" s="797"/>
      <c r="AE462" s="798"/>
      <c r="AF462" s="798"/>
      <c r="AG462" s="794"/>
      <c r="AH462" s="798"/>
      <c r="AI462" s="794"/>
    </row>
    <row r="463" spans="1:35" ht="12.75" x14ac:dyDescent="0.2">
      <c r="A463" s="786" t="s">
        <v>58</v>
      </c>
      <c r="B463" s="779"/>
      <c r="C463" s="780"/>
      <c r="D463" s="780"/>
      <c r="E463" s="12"/>
      <c r="F463" s="12"/>
      <c r="G463" s="12"/>
      <c r="H463" s="12"/>
      <c r="I463" s="12"/>
      <c r="J463" s="12"/>
      <c r="K463" s="780"/>
      <c r="L463" s="12"/>
      <c r="M463" s="12"/>
      <c r="N463" s="162"/>
      <c r="O463" s="784"/>
      <c r="P463" s="788"/>
      <c r="Q463" s="786"/>
      <c r="R463" s="780"/>
      <c r="S463" s="780"/>
      <c r="T463" s="12"/>
      <c r="U463" s="12"/>
      <c r="V463" s="12"/>
      <c r="W463" s="12"/>
      <c r="X463" s="12"/>
      <c r="Y463" s="12"/>
      <c r="Z463" s="780"/>
      <c r="AA463" s="780"/>
      <c r="AB463" s="780"/>
      <c r="AC463" s="787"/>
      <c r="AD463" s="784"/>
      <c r="AE463" s="788"/>
      <c r="AF463" s="788"/>
      <c r="AG463" s="786"/>
      <c r="AH463" s="788"/>
      <c r="AI463" s="786"/>
    </row>
    <row r="464" spans="1:35" ht="12.75" x14ac:dyDescent="0.2">
      <c r="A464" s="786" t="s">
        <v>58</v>
      </c>
      <c r="B464" s="779"/>
      <c r="C464" s="780"/>
      <c r="D464" s="780"/>
      <c r="E464" s="12"/>
      <c r="F464" s="12"/>
      <c r="G464" s="12"/>
      <c r="H464" s="12"/>
      <c r="I464" s="12"/>
      <c r="J464" s="12"/>
      <c r="K464" s="780"/>
      <c r="L464" s="12"/>
      <c r="M464" s="12"/>
      <c r="N464" s="162"/>
      <c r="O464" s="784"/>
      <c r="P464" s="788"/>
      <c r="Q464" s="786"/>
      <c r="R464" s="780"/>
      <c r="S464" s="780"/>
      <c r="T464" s="12"/>
      <c r="U464" s="12"/>
      <c r="V464" s="12"/>
      <c r="W464" s="12"/>
      <c r="X464" s="12"/>
      <c r="Y464" s="12"/>
      <c r="Z464" s="780"/>
      <c r="AA464" s="780"/>
      <c r="AB464" s="780"/>
      <c r="AC464" s="787"/>
      <c r="AD464" s="784"/>
      <c r="AE464" s="788"/>
      <c r="AF464" s="788"/>
      <c r="AG464" s="786"/>
      <c r="AH464" s="788"/>
      <c r="AI464" s="786"/>
    </row>
    <row r="465" spans="1:35" ht="12.75" x14ac:dyDescent="0.2">
      <c r="A465" s="778" t="s">
        <v>59</v>
      </c>
      <c r="B465" s="779"/>
      <c r="C465" s="780"/>
      <c r="D465" s="780"/>
      <c r="E465" s="12"/>
      <c r="F465" s="12"/>
      <c r="G465" s="12"/>
      <c r="H465" s="12"/>
      <c r="I465" s="12"/>
      <c r="J465" s="12"/>
      <c r="K465" s="780"/>
      <c r="L465" s="12"/>
      <c r="M465" s="12"/>
      <c r="N465" s="162"/>
      <c r="O465" s="784"/>
      <c r="P465" s="788"/>
      <c r="Q465" s="786"/>
      <c r="R465" s="780"/>
      <c r="S465" s="780"/>
      <c r="T465" s="12"/>
      <c r="U465" s="12"/>
      <c r="V465" s="12"/>
      <c r="W465" s="12"/>
      <c r="X465" s="12"/>
      <c r="Y465" s="12"/>
      <c r="Z465" s="780"/>
      <c r="AA465" s="780"/>
      <c r="AB465" s="780"/>
      <c r="AC465" s="787"/>
      <c r="AD465" s="784"/>
      <c r="AE465" s="788"/>
      <c r="AF465" s="788"/>
      <c r="AG465" s="786"/>
      <c r="AH465" s="788"/>
      <c r="AI465" s="786"/>
    </row>
    <row r="466" spans="1:35" ht="12.75" x14ac:dyDescent="0.2">
      <c r="A466" s="787"/>
      <c r="B466" s="800"/>
      <c r="C466" s="787"/>
      <c r="D466" s="787"/>
      <c r="E466" s="12"/>
      <c r="F466" s="12"/>
      <c r="G466" s="12"/>
      <c r="H466" s="12"/>
      <c r="I466" s="12"/>
      <c r="J466" s="12"/>
      <c r="K466" s="787"/>
      <c r="L466" s="12"/>
      <c r="M466" s="12"/>
      <c r="N466" s="162"/>
      <c r="O466" s="787"/>
      <c r="P466" s="787"/>
      <c r="Q466" s="787"/>
      <c r="R466" s="787"/>
      <c r="S466" s="787"/>
      <c r="T466" s="12"/>
      <c r="U466" s="12"/>
      <c r="V466" s="12"/>
      <c r="W466" s="12"/>
      <c r="X466" s="12"/>
      <c r="Y466" s="12"/>
      <c r="Z466" s="787"/>
      <c r="AA466" s="787"/>
      <c r="AB466" s="787"/>
      <c r="AC466" s="787"/>
      <c r="AD466" s="787"/>
      <c r="AE466" s="787"/>
      <c r="AF466" s="787"/>
      <c r="AG466" s="787"/>
      <c r="AH466" s="787"/>
      <c r="AI466" s="787"/>
    </row>
    <row r="467" spans="1:35" ht="12.75" x14ac:dyDescent="0.2">
      <c r="A467" s="786" t="s">
        <v>2159</v>
      </c>
      <c r="B467" s="779">
        <v>1</v>
      </c>
      <c r="C467" s="780">
        <v>2427.6999999999998</v>
      </c>
      <c r="D467" s="780"/>
      <c r="E467" s="12"/>
      <c r="F467" s="12"/>
      <c r="G467" s="12"/>
      <c r="H467" s="12"/>
      <c r="I467" s="12"/>
      <c r="J467" s="12"/>
      <c r="K467" s="781">
        <f t="shared" ref="K467:K489" si="151">+C467+D467+E467+F467+G467+H467+I467+J467</f>
        <v>2427.6999999999998</v>
      </c>
      <c r="L467" s="12"/>
      <c r="M467" s="12"/>
      <c r="N467" s="162"/>
      <c r="O467" s="784">
        <f t="shared" ref="O467:O489" si="152">+(K467*12)+N467</f>
        <v>29132.399999999998</v>
      </c>
      <c r="P467" s="785">
        <f t="shared" ref="P467:P489" si="153">+B467*C467</f>
        <v>2427.6999999999998</v>
      </c>
      <c r="Q467" s="786"/>
      <c r="R467" s="780"/>
      <c r="S467" s="780"/>
      <c r="T467" s="12"/>
      <c r="U467" s="12"/>
      <c r="V467" s="12"/>
      <c r="W467" s="12"/>
      <c r="X467" s="12"/>
      <c r="Y467" s="12"/>
      <c r="Z467" s="780">
        <f t="shared" ref="Z467:Z489" si="154">+R467+S467+T467+U467+V467+W467+X467+Y467</f>
        <v>0</v>
      </c>
      <c r="AA467" s="780"/>
      <c r="AB467" s="780"/>
      <c r="AC467" s="787"/>
      <c r="AD467" s="784">
        <f t="shared" ref="AD467:AD489" si="155">+(Z467*12)+AC467</f>
        <v>0</v>
      </c>
      <c r="AE467" s="788">
        <f t="shared" ref="AE467:AE489" si="156">+Q467*AD467</f>
        <v>0</v>
      </c>
      <c r="AF467" s="785">
        <f t="shared" ref="AF467:AF489" si="157">+C467-R467</f>
        <v>2427.6999999999998</v>
      </c>
      <c r="AG467" s="786">
        <f t="shared" ref="AG467:AG489" si="158">+B467-Q467</f>
        <v>1</v>
      </c>
      <c r="AH467" s="788">
        <f t="shared" ref="AH467:AH489" si="159">+B467-Q467</f>
        <v>1</v>
      </c>
      <c r="AI467" s="786"/>
    </row>
    <row r="468" spans="1:35" ht="12.75" x14ac:dyDescent="0.2">
      <c r="A468" s="786" t="s">
        <v>2160</v>
      </c>
      <c r="B468" s="779">
        <v>1</v>
      </c>
      <c r="C468" s="780">
        <v>2089.6</v>
      </c>
      <c r="D468" s="780"/>
      <c r="E468" s="12"/>
      <c r="F468" s="12"/>
      <c r="G468" s="12"/>
      <c r="H468" s="12"/>
      <c r="I468" s="12"/>
      <c r="J468" s="12"/>
      <c r="K468" s="781">
        <f t="shared" si="151"/>
        <v>2089.6</v>
      </c>
      <c r="L468" s="12"/>
      <c r="M468" s="12"/>
      <c r="N468" s="162"/>
      <c r="O468" s="784">
        <f t="shared" si="152"/>
        <v>25075.199999999997</v>
      </c>
      <c r="P468" s="785">
        <f t="shared" si="153"/>
        <v>2089.6</v>
      </c>
      <c r="Q468" s="786">
        <v>1</v>
      </c>
      <c r="R468" s="780">
        <v>2235</v>
      </c>
      <c r="S468" s="780"/>
      <c r="T468" s="12"/>
      <c r="U468" s="12"/>
      <c r="V468" s="12"/>
      <c r="W468" s="12"/>
      <c r="X468" s="12"/>
      <c r="Y468" s="12"/>
      <c r="Z468" s="780">
        <f t="shared" si="154"/>
        <v>2235</v>
      </c>
      <c r="AA468" s="780"/>
      <c r="AB468" s="780"/>
      <c r="AC468" s="787"/>
      <c r="AD468" s="784">
        <f t="shared" si="155"/>
        <v>26820</v>
      </c>
      <c r="AE468" s="788">
        <f t="shared" si="156"/>
        <v>26820</v>
      </c>
      <c r="AF468" s="785">
        <f t="shared" si="157"/>
        <v>-145.40000000000009</v>
      </c>
      <c r="AG468" s="786">
        <f t="shared" si="158"/>
        <v>0</v>
      </c>
      <c r="AH468" s="788">
        <f t="shared" si="159"/>
        <v>0</v>
      </c>
      <c r="AI468" s="786">
        <v>2235</v>
      </c>
    </row>
    <row r="469" spans="1:35" ht="12.75" x14ac:dyDescent="0.2">
      <c r="A469" s="786" t="s">
        <v>2161</v>
      </c>
      <c r="B469" s="779">
        <v>2</v>
      </c>
      <c r="C469" s="780">
        <v>4109.6000000000004</v>
      </c>
      <c r="D469" s="780"/>
      <c r="E469" s="12"/>
      <c r="F469" s="12"/>
      <c r="G469" s="12"/>
      <c r="H469" s="12"/>
      <c r="I469" s="12"/>
      <c r="J469" s="12"/>
      <c r="K469" s="781">
        <f t="shared" si="151"/>
        <v>4109.6000000000004</v>
      </c>
      <c r="L469" s="12"/>
      <c r="M469" s="12"/>
      <c r="N469" s="162"/>
      <c r="O469" s="784">
        <f t="shared" si="152"/>
        <v>49315.200000000004</v>
      </c>
      <c r="P469" s="785">
        <f t="shared" si="153"/>
        <v>8219.2000000000007</v>
      </c>
      <c r="Q469" s="786">
        <v>2</v>
      </c>
      <c r="R469" s="780">
        <v>4398</v>
      </c>
      <c r="S469" s="780"/>
      <c r="T469" s="12"/>
      <c r="U469" s="12"/>
      <c r="V469" s="12"/>
      <c r="W469" s="12"/>
      <c r="X469" s="12"/>
      <c r="Y469" s="12"/>
      <c r="Z469" s="780">
        <f t="shared" si="154"/>
        <v>4398</v>
      </c>
      <c r="AA469" s="780"/>
      <c r="AB469" s="780"/>
      <c r="AC469" s="787"/>
      <c r="AD469" s="784">
        <f t="shared" si="155"/>
        <v>52776</v>
      </c>
      <c r="AE469" s="788">
        <f t="shared" si="156"/>
        <v>105552</v>
      </c>
      <c r="AF469" s="785">
        <f t="shared" si="157"/>
        <v>-288.39999999999964</v>
      </c>
      <c r="AG469" s="786">
        <f t="shared" si="158"/>
        <v>0</v>
      </c>
      <c r="AH469" s="788">
        <f t="shared" si="159"/>
        <v>0</v>
      </c>
      <c r="AI469" s="786">
        <v>4398</v>
      </c>
    </row>
    <row r="470" spans="1:35" ht="12.75" x14ac:dyDescent="0.2">
      <c r="A470" s="786" t="s">
        <v>2162</v>
      </c>
      <c r="B470" s="779">
        <v>1</v>
      </c>
      <c r="C470" s="780">
        <v>2578.1099999999997</v>
      </c>
      <c r="D470" s="780"/>
      <c r="E470" s="12"/>
      <c r="F470" s="12"/>
      <c r="G470" s="12"/>
      <c r="H470" s="12"/>
      <c r="I470" s="12"/>
      <c r="J470" s="12"/>
      <c r="K470" s="781">
        <f t="shared" si="151"/>
        <v>2578.1099999999997</v>
      </c>
      <c r="L470" s="12"/>
      <c r="M470" s="12"/>
      <c r="N470" s="162"/>
      <c r="O470" s="784">
        <f t="shared" si="152"/>
        <v>30937.319999999996</v>
      </c>
      <c r="P470" s="785">
        <f t="shared" si="153"/>
        <v>2578.1099999999997</v>
      </c>
      <c r="Q470" s="786">
        <v>1</v>
      </c>
      <c r="R470" s="780">
        <v>2735.08</v>
      </c>
      <c r="S470" s="780"/>
      <c r="T470" s="12"/>
      <c r="U470" s="12"/>
      <c r="V470" s="12"/>
      <c r="W470" s="12"/>
      <c r="X470" s="12"/>
      <c r="Y470" s="12"/>
      <c r="Z470" s="780">
        <f t="shared" si="154"/>
        <v>2735.08</v>
      </c>
      <c r="AA470" s="780"/>
      <c r="AB470" s="780"/>
      <c r="AC470" s="787"/>
      <c r="AD470" s="784">
        <f t="shared" si="155"/>
        <v>32820.959999999999</v>
      </c>
      <c r="AE470" s="788">
        <f t="shared" si="156"/>
        <v>32820.959999999999</v>
      </c>
      <c r="AF470" s="785">
        <f t="shared" si="157"/>
        <v>-156.97000000000025</v>
      </c>
      <c r="AG470" s="786">
        <f t="shared" si="158"/>
        <v>0</v>
      </c>
      <c r="AH470" s="788">
        <f t="shared" si="159"/>
        <v>0</v>
      </c>
      <c r="AI470" s="786">
        <v>2735.08</v>
      </c>
    </row>
    <row r="471" spans="1:35" ht="12.75" x14ac:dyDescent="0.2">
      <c r="A471" s="786" t="s">
        <v>2163</v>
      </c>
      <c r="B471" s="779">
        <v>3</v>
      </c>
      <c r="C471" s="780">
        <v>7200.05</v>
      </c>
      <c r="D471" s="780"/>
      <c r="E471" s="12"/>
      <c r="F471" s="12"/>
      <c r="G471" s="12"/>
      <c r="H471" s="12"/>
      <c r="I471" s="12"/>
      <c r="J471" s="12"/>
      <c r="K471" s="781">
        <f t="shared" si="151"/>
        <v>7200.05</v>
      </c>
      <c r="L471" s="12"/>
      <c r="M471" s="12"/>
      <c r="N471" s="162"/>
      <c r="O471" s="784">
        <f t="shared" si="152"/>
        <v>86400.6</v>
      </c>
      <c r="P471" s="785">
        <f t="shared" si="153"/>
        <v>21600.15</v>
      </c>
      <c r="Q471" s="786">
        <v>2</v>
      </c>
      <c r="R471" s="780">
        <v>5498.4400000000005</v>
      </c>
      <c r="S471" s="780"/>
      <c r="T471" s="12"/>
      <c r="U471" s="12"/>
      <c r="V471" s="12"/>
      <c r="W471" s="12"/>
      <c r="X471" s="12"/>
      <c r="Y471" s="12"/>
      <c r="Z471" s="780">
        <f t="shared" si="154"/>
        <v>5498.4400000000005</v>
      </c>
      <c r="AA471" s="780"/>
      <c r="AB471" s="780"/>
      <c r="AC471" s="787"/>
      <c r="AD471" s="784">
        <f t="shared" si="155"/>
        <v>65981.279999999999</v>
      </c>
      <c r="AE471" s="788">
        <f t="shared" si="156"/>
        <v>131962.56</v>
      </c>
      <c r="AF471" s="785">
        <f t="shared" si="157"/>
        <v>1701.6099999999997</v>
      </c>
      <c r="AG471" s="786">
        <f t="shared" si="158"/>
        <v>1</v>
      </c>
      <c r="AH471" s="788">
        <f t="shared" si="159"/>
        <v>1</v>
      </c>
      <c r="AI471" s="786">
        <v>5498.4400000000005</v>
      </c>
    </row>
    <row r="472" spans="1:35" ht="12.75" x14ac:dyDescent="0.2">
      <c r="A472" s="786" t="s">
        <v>2164</v>
      </c>
      <c r="B472" s="779">
        <v>6</v>
      </c>
      <c r="C472" s="780">
        <v>15163.450000000003</v>
      </c>
      <c r="D472" s="780"/>
      <c r="E472" s="12"/>
      <c r="F472" s="12"/>
      <c r="G472" s="12"/>
      <c r="H472" s="12"/>
      <c r="I472" s="12"/>
      <c r="J472" s="12"/>
      <c r="K472" s="781">
        <f t="shared" si="151"/>
        <v>15163.450000000003</v>
      </c>
      <c r="L472" s="12"/>
      <c r="M472" s="12"/>
      <c r="N472" s="162"/>
      <c r="O472" s="784">
        <f t="shared" si="152"/>
        <v>181961.40000000002</v>
      </c>
      <c r="P472" s="785">
        <f t="shared" si="153"/>
        <v>90980.700000000012</v>
      </c>
      <c r="Q472" s="786">
        <v>6</v>
      </c>
      <c r="R472" s="780">
        <v>14270.009999999998</v>
      </c>
      <c r="S472" s="780"/>
      <c r="T472" s="12"/>
      <c r="U472" s="12"/>
      <c r="V472" s="12"/>
      <c r="W472" s="12"/>
      <c r="X472" s="12"/>
      <c r="Y472" s="12"/>
      <c r="Z472" s="780">
        <f t="shared" si="154"/>
        <v>14270.009999999998</v>
      </c>
      <c r="AA472" s="780"/>
      <c r="AB472" s="780"/>
      <c r="AC472" s="787"/>
      <c r="AD472" s="784">
        <f t="shared" si="155"/>
        <v>171240.12</v>
      </c>
      <c r="AE472" s="788">
        <f t="shared" si="156"/>
        <v>1027440.72</v>
      </c>
      <c r="AF472" s="785">
        <f t="shared" si="157"/>
        <v>893.44000000000415</v>
      </c>
      <c r="AG472" s="786">
        <f t="shared" si="158"/>
        <v>0</v>
      </c>
      <c r="AH472" s="788">
        <f t="shared" si="159"/>
        <v>0</v>
      </c>
      <c r="AI472" s="786">
        <v>14270.009999999998</v>
      </c>
    </row>
    <row r="473" spans="1:35" ht="12.75" x14ac:dyDescent="0.2">
      <c r="A473" s="786" t="s">
        <v>2165</v>
      </c>
      <c r="B473" s="779">
        <v>1</v>
      </c>
      <c r="C473" s="780">
        <v>2054.8000000000002</v>
      </c>
      <c r="D473" s="780"/>
      <c r="E473" s="12"/>
      <c r="F473" s="12"/>
      <c r="G473" s="12"/>
      <c r="H473" s="12"/>
      <c r="I473" s="12"/>
      <c r="J473" s="12"/>
      <c r="K473" s="781">
        <f t="shared" si="151"/>
        <v>2054.8000000000002</v>
      </c>
      <c r="L473" s="12"/>
      <c r="M473" s="12"/>
      <c r="N473" s="162"/>
      <c r="O473" s="784">
        <f t="shared" si="152"/>
        <v>24657.600000000002</v>
      </c>
      <c r="P473" s="785">
        <f t="shared" si="153"/>
        <v>2054.8000000000002</v>
      </c>
      <c r="Q473" s="786">
        <v>1</v>
      </c>
      <c r="R473" s="780">
        <v>2199</v>
      </c>
      <c r="S473" s="780"/>
      <c r="T473" s="12"/>
      <c r="U473" s="12"/>
      <c r="V473" s="12"/>
      <c r="W473" s="12"/>
      <c r="X473" s="12"/>
      <c r="Y473" s="12"/>
      <c r="Z473" s="780">
        <f t="shared" si="154"/>
        <v>2199</v>
      </c>
      <c r="AA473" s="780"/>
      <c r="AB473" s="780"/>
      <c r="AC473" s="787"/>
      <c r="AD473" s="784">
        <f t="shared" si="155"/>
        <v>26388</v>
      </c>
      <c r="AE473" s="788">
        <f t="shared" si="156"/>
        <v>26388</v>
      </c>
      <c r="AF473" s="785">
        <f t="shared" si="157"/>
        <v>-144.19999999999982</v>
      </c>
      <c r="AG473" s="786">
        <f t="shared" si="158"/>
        <v>0</v>
      </c>
      <c r="AH473" s="788">
        <f t="shared" si="159"/>
        <v>0</v>
      </c>
      <c r="AI473" s="786">
        <v>2199</v>
      </c>
    </row>
    <row r="474" spans="1:35" ht="12.75" x14ac:dyDescent="0.2">
      <c r="A474" s="786" t="s">
        <v>2166</v>
      </c>
      <c r="B474" s="779">
        <v>2</v>
      </c>
      <c r="C474" s="780">
        <v>5164.33</v>
      </c>
      <c r="D474" s="780"/>
      <c r="E474" s="12"/>
      <c r="F474" s="12"/>
      <c r="G474" s="12"/>
      <c r="H474" s="12"/>
      <c r="I474" s="12"/>
      <c r="J474" s="12"/>
      <c r="K474" s="781">
        <f t="shared" si="151"/>
        <v>5164.33</v>
      </c>
      <c r="L474" s="12"/>
      <c r="M474" s="12"/>
      <c r="N474" s="162"/>
      <c r="O474" s="784">
        <f t="shared" si="152"/>
        <v>61971.96</v>
      </c>
      <c r="P474" s="785">
        <f t="shared" si="153"/>
        <v>10328.66</v>
      </c>
      <c r="Q474" s="786">
        <v>2</v>
      </c>
      <c r="R474" s="780">
        <v>5085.9400000000005</v>
      </c>
      <c r="S474" s="780"/>
      <c r="T474" s="12"/>
      <c r="U474" s="12"/>
      <c r="V474" s="12"/>
      <c r="W474" s="12"/>
      <c r="X474" s="12"/>
      <c r="Y474" s="12"/>
      <c r="Z474" s="780">
        <f t="shared" si="154"/>
        <v>5085.9400000000005</v>
      </c>
      <c r="AA474" s="780"/>
      <c r="AB474" s="780"/>
      <c r="AC474" s="787"/>
      <c r="AD474" s="784">
        <f t="shared" si="155"/>
        <v>61031.280000000006</v>
      </c>
      <c r="AE474" s="788">
        <f t="shared" si="156"/>
        <v>122062.56000000001</v>
      </c>
      <c r="AF474" s="785">
        <f t="shared" si="157"/>
        <v>78.389999999999418</v>
      </c>
      <c r="AG474" s="786">
        <f t="shared" si="158"/>
        <v>0</v>
      </c>
      <c r="AH474" s="788">
        <f t="shared" si="159"/>
        <v>0</v>
      </c>
      <c r="AI474" s="786">
        <v>5085.9400000000005</v>
      </c>
    </row>
    <row r="475" spans="1:35" ht="12.75" x14ac:dyDescent="0.2">
      <c r="A475" s="786" t="s">
        <v>2167</v>
      </c>
      <c r="B475" s="779">
        <v>1</v>
      </c>
      <c r="C475" s="780">
        <v>2429.0099999999998</v>
      </c>
      <c r="D475" s="780"/>
      <c r="E475" s="12"/>
      <c r="F475" s="12"/>
      <c r="G475" s="12"/>
      <c r="H475" s="12"/>
      <c r="I475" s="12"/>
      <c r="J475" s="12"/>
      <c r="K475" s="781">
        <f t="shared" si="151"/>
        <v>2429.0099999999998</v>
      </c>
      <c r="L475" s="12"/>
      <c r="M475" s="12"/>
      <c r="N475" s="162"/>
      <c r="O475" s="784">
        <f t="shared" si="152"/>
        <v>29148.119999999995</v>
      </c>
      <c r="P475" s="785">
        <f t="shared" si="153"/>
        <v>2429.0099999999998</v>
      </c>
      <c r="Q475" s="786">
        <v>1</v>
      </c>
      <c r="R475" s="780">
        <v>2754.16</v>
      </c>
      <c r="S475" s="780"/>
      <c r="T475" s="12"/>
      <c r="U475" s="12"/>
      <c r="V475" s="12"/>
      <c r="W475" s="12"/>
      <c r="X475" s="12"/>
      <c r="Y475" s="12"/>
      <c r="Z475" s="780">
        <f t="shared" si="154"/>
        <v>2754.16</v>
      </c>
      <c r="AA475" s="780"/>
      <c r="AB475" s="780"/>
      <c r="AC475" s="787"/>
      <c r="AD475" s="784">
        <f t="shared" si="155"/>
        <v>33049.919999999998</v>
      </c>
      <c r="AE475" s="788">
        <f t="shared" si="156"/>
        <v>33049.919999999998</v>
      </c>
      <c r="AF475" s="785">
        <f t="shared" si="157"/>
        <v>-325.15000000000009</v>
      </c>
      <c r="AG475" s="786">
        <f t="shared" si="158"/>
        <v>0</v>
      </c>
      <c r="AH475" s="788">
        <f t="shared" si="159"/>
        <v>0</v>
      </c>
      <c r="AI475" s="786">
        <v>2754.16</v>
      </c>
    </row>
    <row r="476" spans="1:35" ht="12.75" x14ac:dyDescent="0.2">
      <c r="A476" s="786" t="s">
        <v>2168</v>
      </c>
      <c r="B476" s="779">
        <v>1</v>
      </c>
      <c r="C476" s="780">
        <v>551.94000000000005</v>
      </c>
      <c r="D476" s="780"/>
      <c r="E476" s="12"/>
      <c r="F476" s="12"/>
      <c r="G476" s="12"/>
      <c r="H476" s="12"/>
      <c r="I476" s="12"/>
      <c r="J476" s="12"/>
      <c r="K476" s="781">
        <f t="shared" si="151"/>
        <v>551.94000000000005</v>
      </c>
      <c r="L476" s="12"/>
      <c r="M476" s="12"/>
      <c r="N476" s="162"/>
      <c r="O476" s="784">
        <f t="shared" si="152"/>
        <v>6623.2800000000007</v>
      </c>
      <c r="P476" s="785">
        <f t="shared" si="153"/>
        <v>551.94000000000005</v>
      </c>
      <c r="Q476" s="786"/>
      <c r="R476" s="780"/>
      <c r="S476" s="780"/>
      <c r="T476" s="12"/>
      <c r="U476" s="12"/>
      <c r="V476" s="12"/>
      <c r="W476" s="12"/>
      <c r="X476" s="12"/>
      <c r="Y476" s="12"/>
      <c r="Z476" s="780">
        <f t="shared" si="154"/>
        <v>0</v>
      </c>
      <c r="AA476" s="780"/>
      <c r="AB476" s="780"/>
      <c r="AC476" s="787"/>
      <c r="AD476" s="784">
        <f t="shared" si="155"/>
        <v>0</v>
      </c>
      <c r="AE476" s="788">
        <f t="shared" si="156"/>
        <v>0</v>
      </c>
      <c r="AF476" s="785">
        <f t="shared" si="157"/>
        <v>551.94000000000005</v>
      </c>
      <c r="AG476" s="786">
        <f t="shared" si="158"/>
        <v>1</v>
      </c>
      <c r="AH476" s="788">
        <f t="shared" si="159"/>
        <v>1</v>
      </c>
      <c r="AI476" s="786"/>
    </row>
    <row r="477" spans="1:35" ht="12.75" x14ac:dyDescent="0.2">
      <c r="A477" s="786" t="s">
        <v>2169</v>
      </c>
      <c r="B477" s="779">
        <v>19</v>
      </c>
      <c r="C477" s="780">
        <v>49259.890000000007</v>
      </c>
      <c r="D477" s="780"/>
      <c r="E477" s="12"/>
      <c r="F477" s="12"/>
      <c r="G477" s="12"/>
      <c r="H477" s="12"/>
      <c r="I477" s="12"/>
      <c r="J477" s="12"/>
      <c r="K477" s="781">
        <f t="shared" si="151"/>
        <v>49259.890000000007</v>
      </c>
      <c r="L477" s="12"/>
      <c r="M477" s="12"/>
      <c r="N477" s="162"/>
      <c r="O477" s="784">
        <f t="shared" si="152"/>
        <v>591118.68000000005</v>
      </c>
      <c r="P477" s="785">
        <f t="shared" si="153"/>
        <v>935937.91000000015</v>
      </c>
      <c r="Q477" s="786">
        <v>17</v>
      </c>
      <c r="R477" s="780">
        <v>43849.45</v>
      </c>
      <c r="S477" s="780"/>
      <c r="T477" s="12"/>
      <c r="U477" s="12"/>
      <c r="V477" s="12"/>
      <c r="W477" s="12"/>
      <c r="X477" s="12"/>
      <c r="Y477" s="12"/>
      <c r="Z477" s="780">
        <f t="shared" si="154"/>
        <v>43849.45</v>
      </c>
      <c r="AA477" s="780"/>
      <c r="AB477" s="780"/>
      <c r="AC477" s="787"/>
      <c r="AD477" s="784">
        <f t="shared" si="155"/>
        <v>526193.39999999991</v>
      </c>
      <c r="AE477" s="788">
        <f t="shared" si="156"/>
        <v>8945287.7999999989</v>
      </c>
      <c r="AF477" s="785">
        <f t="shared" si="157"/>
        <v>5410.4400000000096</v>
      </c>
      <c r="AG477" s="786">
        <f t="shared" si="158"/>
        <v>2</v>
      </c>
      <c r="AH477" s="788">
        <f t="shared" si="159"/>
        <v>2</v>
      </c>
      <c r="AI477" s="786">
        <v>43849.45</v>
      </c>
    </row>
    <row r="478" spans="1:35" ht="12.75" x14ac:dyDescent="0.2">
      <c r="A478" s="786" t="s">
        <v>2170</v>
      </c>
      <c r="B478" s="779">
        <v>13</v>
      </c>
      <c r="C478" s="780">
        <v>32098.789999999994</v>
      </c>
      <c r="D478" s="780"/>
      <c r="E478" s="12"/>
      <c r="F478" s="12"/>
      <c r="G478" s="12"/>
      <c r="H478" s="12"/>
      <c r="I478" s="12"/>
      <c r="J478" s="12"/>
      <c r="K478" s="781">
        <f t="shared" si="151"/>
        <v>32098.789999999994</v>
      </c>
      <c r="L478" s="12"/>
      <c r="M478" s="12"/>
      <c r="N478" s="162"/>
      <c r="O478" s="784">
        <f t="shared" si="152"/>
        <v>385185.47999999992</v>
      </c>
      <c r="P478" s="785">
        <f t="shared" si="153"/>
        <v>417284.2699999999</v>
      </c>
      <c r="Q478" s="786">
        <v>13</v>
      </c>
      <c r="R478" s="780">
        <v>33973.79</v>
      </c>
      <c r="S478" s="780"/>
      <c r="T478" s="12"/>
      <c r="U478" s="12"/>
      <c r="V478" s="12"/>
      <c r="W478" s="12"/>
      <c r="X478" s="12"/>
      <c r="Y478" s="12"/>
      <c r="Z478" s="780">
        <f t="shared" si="154"/>
        <v>33973.79</v>
      </c>
      <c r="AA478" s="780"/>
      <c r="AB478" s="780"/>
      <c r="AC478" s="787"/>
      <c r="AD478" s="784">
        <f t="shared" si="155"/>
        <v>407685.48</v>
      </c>
      <c r="AE478" s="788">
        <f t="shared" si="156"/>
        <v>5299911.24</v>
      </c>
      <c r="AF478" s="785">
        <f t="shared" si="157"/>
        <v>-1875.0000000000073</v>
      </c>
      <c r="AG478" s="786">
        <f t="shared" si="158"/>
        <v>0</v>
      </c>
      <c r="AH478" s="788">
        <f t="shared" si="159"/>
        <v>0</v>
      </c>
      <c r="AI478" s="786">
        <v>33973.79</v>
      </c>
    </row>
    <row r="479" spans="1:35" ht="12.75" x14ac:dyDescent="0.2">
      <c r="A479" s="786" t="s">
        <v>2171</v>
      </c>
      <c r="B479" s="779">
        <v>3</v>
      </c>
      <c r="C479" s="780">
        <v>6463.7999999999993</v>
      </c>
      <c r="D479" s="780"/>
      <c r="E479" s="12"/>
      <c r="F479" s="12"/>
      <c r="G479" s="12"/>
      <c r="H479" s="12"/>
      <c r="I479" s="12"/>
      <c r="J479" s="12"/>
      <c r="K479" s="781">
        <f t="shared" si="151"/>
        <v>6463.7999999999993</v>
      </c>
      <c r="L479" s="12"/>
      <c r="M479" s="12"/>
      <c r="N479" s="162"/>
      <c r="O479" s="784">
        <f t="shared" si="152"/>
        <v>77565.599999999991</v>
      </c>
      <c r="P479" s="785">
        <f t="shared" si="153"/>
        <v>19391.399999999998</v>
      </c>
      <c r="Q479" s="786">
        <v>3</v>
      </c>
      <c r="R479" s="780">
        <v>6909</v>
      </c>
      <c r="S479" s="780"/>
      <c r="T479" s="12"/>
      <c r="U479" s="12"/>
      <c r="V479" s="12"/>
      <c r="W479" s="12"/>
      <c r="X479" s="12"/>
      <c r="Y479" s="12"/>
      <c r="Z479" s="780">
        <f t="shared" si="154"/>
        <v>6909</v>
      </c>
      <c r="AA479" s="780"/>
      <c r="AB479" s="780"/>
      <c r="AC479" s="787"/>
      <c r="AD479" s="784">
        <f t="shared" si="155"/>
        <v>82908</v>
      </c>
      <c r="AE479" s="788">
        <f t="shared" si="156"/>
        <v>248724</v>
      </c>
      <c r="AF479" s="785">
        <f t="shared" si="157"/>
        <v>-445.20000000000073</v>
      </c>
      <c r="AG479" s="786">
        <f t="shared" si="158"/>
        <v>0</v>
      </c>
      <c r="AH479" s="788">
        <f t="shared" si="159"/>
        <v>0</v>
      </c>
      <c r="AI479" s="786">
        <v>6909</v>
      </c>
    </row>
    <row r="480" spans="1:35" ht="12.75" x14ac:dyDescent="0.2">
      <c r="A480" s="786" t="s">
        <v>2172</v>
      </c>
      <c r="B480" s="779">
        <v>3</v>
      </c>
      <c r="C480" s="780">
        <v>7539.26</v>
      </c>
      <c r="D480" s="780"/>
      <c r="E480" s="12"/>
      <c r="F480" s="12"/>
      <c r="G480" s="12"/>
      <c r="H480" s="12"/>
      <c r="I480" s="12"/>
      <c r="J480" s="12"/>
      <c r="K480" s="781">
        <f t="shared" si="151"/>
        <v>7539.26</v>
      </c>
      <c r="L480" s="12"/>
      <c r="M480" s="12"/>
      <c r="N480" s="162"/>
      <c r="O480" s="784">
        <f t="shared" si="152"/>
        <v>90471.12</v>
      </c>
      <c r="P480" s="785">
        <f t="shared" si="153"/>
        <v>22617.78</v>
      </c>
      <c r="Q480" s="786">
        <v>3</v>
      </c>
      <c r="R480" s="780">
        <v>6923.35</v>
      </c>
      <c r="S480" s="780"/>
      <c r="T480" s="12"/>
      <c r="U480" s="12"/>
      <c r="V480" s="12"/>
      <c r="W480" s="12"/>
      <c r="X480" s="12"/>
      <c r="Y480" s="12"/>
      <c r="Z480" s="780">
        <f t="shared" si="154"/>
        <v>6923.35</v>
      </c>
      <c r="AA480" s="780"/>
      <c r="AB480" s="780"/>
      <c r="AC480" s="787"/>
      <c r="AD480" s="784">
        <f t="shared" si="155"/>
        <v>83080.200000000012</v>
      </c>
      <c r="AE480" s="788">
        <f t="shared" si="156"/>
        <v>249240.60000000003</v>
      </c>
      <c r="AF480" s="785">
        <f t="shared" si="157"/>
        <v>615.90999999999985</v>
      </c>
      <c r="AG480" s="786">
        <f t="shared" si="158"/>
        <v>0</v>
      </c>
      <c r="AH480" s="788">
        <f t="shared" si="159"/>
        <v>0</v>
      </c>
      <c r="AI480" s="786">
        <v>6923.35</v>
      </c>
    </row>
    <row r="481" spans="1:35" ht="12.75" x14ac:dyDescent="0.2">
      <c r="A481" s="786" t="s">
        <v>2173</v>
      </c>
      <c r="B481" s="779">
        <v>37</v>
      </c>
      <c r="C481" s="780">
        <v>88590.449999999953</v>
      </c>
      <c r="D481" s="780"/>
      <c r="E481" s="12"/>
      <c r="F481" s="12"/>
      <c r="G481" s="12"/>
      <c r="H481" s="12"/>
      <c r="I481" s="12"/>
      <c r="J481" s="12"/>
      <c r="K481" s="781">
        <f t="shared" si="151"/>
        <v>88590.449999999953</v>
      </c>
      <c r="L481" s="12"/>
      <c r="M481" s="12"/>
      <c r="N481" s="162"/>
      <c r="O481" s="784">
        <f t="shared" si="152"/>
        <v>1063085.3999999994</v>
      </c>
      <c r="P481" s="785">
        <f t="shared" si="153"/>
        <v>3277846.6499999985</v>
      </c>
      <c r="Q481" s="786">
        <v>36</v>
      </c>
      <c r="R481" s="780">
        <v>93084.38</v>
      </c>
      <c r="S481" s="780"/>
      <c r="T481" s="12"/>
      <c r="U481" s="12"/>
      <c r="V481" s="12"/>
      <c r="W481" s="12"/>
      <c r="X481" s="12"/>
      <c r="Y481" s="12"/>
      <c r="Z481" s="780">
        <f t="shared" si="154"/>
        <v>93084.38</v>
      </c>
      <c r="AA481" s="780"/>
      <c r="AB481" s="780"/>
      <c r="AC481" s="787"/>
      <c r="AD481" s="784">
        <f t="shared" si="155"/>
        <v>1117012.56</v>
      </c>
      <c r="AE481" s="788">
        <f t="shared" si="156"/>
        <v>40212452.160000004</v>
      </c>
      <c r="AF481" s="785">
        <f t="shared" si="157"/>
        <v>-4493.9300000000512</v>
      </c>
      <c r="AG481" s="786">
        <f t="shared" si="158"/>
        <v>1</v>
      </c>
      <c r="AH481" s="788">
        <f t="shared" si="159"/>
        <v>1</v>
      </c>
      <c r="AI481" s="786">
        <v>93084.38</v>
      </c>
    </row>
    <row r="482" spans="1:35" ht="12.75" x14ac:dyDescent="0.2">
      <c r="A482" s="786" t="s">
        <v>2174</v>
      </c>
      <c r="B482" s="779">
        <v>1</v>
      </c>
      <c r="C482" s="780">
        <v>2769.16</v>
      </c>
      <c r="D482" s="780"/>
      <c r="E482" s="12"/>
      <c r="F482" s="12"/>
      <c r="G482" s="12"/>
      <c r="H482" s="12"/>
      <c r="I482" s="12"/>
      <c r="J482" s="12"/>
      <c r="K482" s="781">
        <f t="shared" si="151"/>
        <v>2769.16</v>
      </c>
      <c r="L482" s="12"/>
      <c r="M482" s="12"/>
      <c r="N482" s="162"/>
      <c r="O482" s="784">
        <f t="shared" si="152"/>
        <v>33229.919999999998</v>
      </c>
      <c r="P482" s="785">
        <f t="shared" si="153"/>
        <v>2769.16</v>
      </c>
      <c r="Q482" s="786">
        <v>1</v>
      </c>
      <c r="R482" s="780">
        <v>2925.05</v>
      </c>
      <c r="S482" s="780"/>
      <c r="T482" s="12"/>
      <c r="U482" s="12"/>
      <c r="V482" s="12"/>
      <c r="W482" s="12"/>
      <c r="X482" s="12"/>
      <c r="Y482" s="12"/>
      <c r="Z482" s="780">
        <f t="shared" si="154"/>
        <v>2925.05</v>
      </c>
      <c r="AA482" s="780"/>
      <c r="AB482" s="780"/>
      <c r="AC482" s="787"/>
      <c r="AD482" s="784">
        <f t="shared" si="155"/>
        <v>35100.600000000006</v>
      </c>
      <c r="AE482" s="788">
        <f t="shared" si="156"/>
        <v>35100.600000000006</v>
      </c>
      <c r="AF482" s="785">
        <f t="shared" si="157"/>
        <v>-155.89000000000033</v>
      </c>
      <c r="AG482" s="786">
        <f t="shared" si="158"/>
        <v>0</v>
      </c>
      <c r="AH482" s="788">
        <f t="shared" si="159"/>
        <v>0</v>
      </c>
      <c r="AI482" s="786">
        <v>2925.05</v>
      </c>
    </row>
    <row r="483" spans="1:35" ht="12.75" x14ac:dyDescent="0.2">
      <c r="A483" s="786" t="s">
        <v>2175</v>
      </c>
      <c r="B483" s="779">
        <v>36</v>
      </c>
      <c r="C483" s="780">
        <v>83859.060000000041</v>
      </c>
      <c r="D483" s="780"/>
      <c r="E483" s="12"/>
      <c r="F483" s="12"/>
      <c r="G483" s="12"/>
      <c r="H483" s="12"/>
      <c r="I483" s="12"/>
      <c r="J483" s="12"/>
      <c r="K483" s="781">
        <f t="shared" si="151"/>
        <v>83859.060000000041</v>
      </c>
      <c r="L483" s="12"/>
      <c r="M483" s="12"/>
      <c r="N483" s="162"/>
      <c r="O483" s="784">
        <f t="shared" si="152"/>
        <v>1006308.7200000004</v>
      </c>
      <c r="P483" s="785">
        <f t="shared" si="153"/>
        <v>3018926.1600000015</v>
      </c>
      <c r="Q483" s="786">
        <v>35</v>
      </c>
      <c r="R483" s="780">
        <v>92272.910000000033</v>
      </c>
      <c r="S483" s="780"/>
      <c r="T483" s="12"/>
      <c r="U483" s="12"/>
      <c r="V483" s="12"/>
      <c r="W483" s="12"/>
      <c r="X483" s="12"/>
      <c r="Y483" s="12"/>
      <c r="Z483" s="780">
        <f t="shared" si="154"/>
        <v>92272.910000000033</v>
      </c>
      <c r="AA483" s="780"/>
      <c r="AB483" s="780"/>
      <c r="AC483" s="787"/>
      <c r="AD483" s="784">
        <f t="shared" si="155"/>
        <v>1107274.9200000004</v>
      </c>
      <c r="AE483" s="788">
        <f t="shared" si="156"/>
        <v>38754622.20000001</v>
      </c>
      <c r="AF483" s="785">
        <f t="shared" si="157"/>
        <v>-8413.8499999999913</v>
      </c>
      <c r="AG483" s="786">
        <f t="shared" si="158"/>
        <v>1</v>
      </c>
      <c r="AH483" s="788">
        <f t="shared" si="159"/>
        <v>1</v>
      </c>
      <c r="AI483" s="786">
        <v>92272.910000000033</v>
      </c>
    </row>
    <row r="484" spans="1:35" ht="12.75" x14ac:dyDescent="0.2">
      <c r="A484" s="786" t="s">
        <v>2176</v>
      </c>
      <c r="B484" s="779">
        <v>5</v>
      </c>
      <c r="C484" s="780">
        <v>13146.68</v>
      </c>
      <c r="D484" s="780"/>
      <c r="E484" s="12"/>
      <c r="F484" s="12"/>
      <c r="G484" s="12"/>
      <c r="H484" s="12"/>
      <c r="I484" s="12"/>
      <c r="J484" s="12"/>
      <c r="K484" s="781">
        <f t="shared" si="151"/>
        <v>13146.68</v>
      </c>
      <c r="L484" s="12"/>
      <c r="M484" s="12"/>
      <c r="N484" s="162"/>
      <c r="O484" s="784">
        <f t="shared" si="152"/>
        <v>157760.16</v>
      </c>
      <c r="P484" s="785">
        <f t="shared" si="153"/>
        <v>65733.399999999994</v>
      </c>
      <c r="Q484" s="786">
        <v>5</v>
      </c>
      <c r="R484" s="780">
        <v>14288.94</v>
      </c>
      <c r="S484" s="780"/>
      <c r="T484" s="12"/>
      <c r="U484" s="12"/>
      <c r="V484" s="12"/>
      <c r="W484" s="12"/>
      <c r="X484" s="12"/>
      <c r="Y484" s="12"/>
      <c r="Z484" s="780">
        <f t="shared" si="154"/>
        <v>14288.94</v>
      </c>
      <c r="AA484" s="780"/>
      <c r="AB484" s="780"/>
      <c r="AC484" s="787"/>
      <c r="AD484" s="784">
        <f t="shared" si="155"/>
        <v>171467.28</v>
      </c>
      <c r="AE484" s="788">
        <f t="shared" si="156"/>
        <v>857336.4</v>
      </c>
      <c r="AF484" s="785">
        <f t="shared" si="157"/>
        <v>-1142.2600000000002</v>
      </c>
      <c r="AG484" s="786">
        <f t="shared" si="158"/>
        <v>0</v>
      </c>
      <c r="AH484" s="788">
        <f t="shared" si="159"/>
        <v>0</v>
      </c>
      <c r="AI484" s="786">
        <v>14288.94</v>
      </c>
    </row>
    <row r="485" spans="1:35" ht="12.75" x14ac:dyDescent="0.2">
      <c r="A485" s="786" t="s">
        <v>2177</v>
      </c>
      <c r="B485" s="779">
        <v>6</v>
      </c>
      <c r="C485" s="780">
        <v>12314.33</v>
      </c>
      <c r="D485" s="780"/>
      <c r="E485" s="12"/>
      <c r="F485" s="12"/>
      <c r="G485" s="12"/>
      <c r="H485" s="12"/>
      <c r="I485" s="12"/>
      <c r="J485" s="12"/>
      <c r="K485" s="781">
        <f t="shared" si="151"/>
        <v>12314.33</v>
      </c>
      <c r="L485" s="12"/>
      <c r="M485" s="12"/>
      <c r="N485" s="162"/>
      <c r="O485" s="784">
        <f t="shared" si="152"/>
        <v>147771.96</v>
      </c>
      <c r="P485" s="785">
        <f t="shared" si="153"/>
        <v>73885.98</v>
      </c>
      <c r="Q485" s="786">
        <v>6</v>
      </c>
      <c r="R485" s="780">
        <v>14714.57</v>
      </c>
      <c r="S485" s="780"/>
      <c r="T485" s="12"/>
      <c r="U485" s="12"/>
      <c r="V485" s="12"/>
      <c r="W485" s="12"/>
      <c r="X485" s="12"/>
      <c r="Y485" s="12"/>
      <c r="Z485" s="780">
        <f t="shared" si="154"/>
        <v>14714.57</v>
      </c>
      <c r="AA485" s="780"/>
      <c r="AB485" s="780"/>
      <c r="AC485" s="787"/>
      <c r="AD485" s="784">
        <f t="shared" si="155"/>
        <v>176574.84</v>
      </c>
      <c r="AE485" s="788">
        <f t="shared" si="156"/>
        <v>1059449.04</v>
      </c>
      <c r="AF485" s="785">
        <f t="shared" si="157"/>
        <v>-2400.2399999999998</v>
      </c>
      <c r="AG485" s="786">
        <f t="shared" si="158"/>
        <v>0</v>
      </c>
      <c r="AH485" s="788">
        <f t="shared" si="159"/>
        <v>0</v>
      </c>
      <c r="AI485" s="786">
        <v>14714.57</v>
      </c>
    </row>
    <row r="486" spans="1:35" ht="12.75" x14ac:dyDescent="0.2">
      <c r="A486" s="786" t="s">
        <v>2178</v>
      </c>
      <c r="B486" s="779">
        <v>7</v>
      </c>
      <c r="C486" s="780">
        <v>16422.28</v>
      </c>
      <c r="D486" s="780"/>
      <c r="E486" s="12"/>
      <c r="F486" s="12"/>
      <c r="G486" s="12"/>
      <c r="H486" s="12"/>
      <c r="I486" s="12"/>
      <c r="J486" s="12"/>
      <c r="K486" s="781">
        <f t="shared" si="151"/>
        <v>16422.28</v>
      </c>
      <c r="L486" s="12"/>
      <c r="M486" s="12"/>
      <c r="N486" s="162"/>
      <c r="O486" s="784">
        <f t="shared" si="152"/>
        <v>197067.36</v>
      </c>
      <c r="P486" s="785">
        <f t="shared" si="153"/>
        <v>114955.95999999999</v>
      </c>
      <c r="Q486" s="786">
        <v>7</v>
      </c>
      <c r="R486" s="780">
        <v>17209.68</v>
      </c>
      <c r="S486" s="780"/>
      <c r="T486" s="12"/>
      <c r="U486" s="12"/>
      <c r="V486" s="12"/>
      <c r="W486" s="12"/>
      <c r="X486" s="12"/>
      <c r="Y486" s="12"/>
      <c r="Z486" s="780">
        <f t="shared" si="154"/>
        <v>17209.68</v>
      </c>
      <c r="AA486" s="780"/>
      <c r="AB486" s="780"/>
      <c r="AC486" s="787"/>
      <c r="AD486" s="784">
        <f t="shared" si="155"/>
        <v>206516.16</v>
      </c>
      <c r="AE486" s="788">
        <f t="shared" si="156"/>
        <v>1445613.12</v>
      </c>
      <c r="AF486" s="785">
        <f t="shared" si="157"/>
        <v>-787.40000000000146</v>
      </c>
      <c r="AG486" s="786">
        <f t="shared" si="158"/>
        <v>0</v>
      </c>
      <c r="AH486" s="788">
        <f t="shared" si="159"/>
        <v>0</v>
      </c>
      <c r="AI486" s="786">
        <v>17209.68</v>
      </c>
    </row>
    <row r="487" spans="1:35" ht="12.75" x14ac:dyDescent="0.2">
      <c r="A487" s="786" t="s">
        <v>2179</v>
      </c>
      <c r="B487" s="779">
        <v>6</v>
      </c>
      <c r="C487" s="780">
        <v>13241.16</v>
      </c>
      <c r="D487" s="780"/>
      <c r="E487" s="12"/>
      <c r="F487" s="12"/>
      <c r="G487" s="12"/>
      <c r="H487" s="12"/>
      <c r="I487" s="12"/>
      <c r="J487" s="12"/>
      <c r="K487" s="781">
        <f t="shared" si="151"/>
        <v>13241.16</v>
      </c>
      <c r="L487" s="12"/>
      <c r="M487" s="12"/>
      <c r="N487" s="162"/>
      <c r="O487" s="784">
        <f t="shared" si="152"/>
        <v>158893.91999999998</v>
      </c>
      <c r="P487" s="785">
        <f t="shared" si="153"/>
        <v>79446.959999999992</v>
      </c>
      <c r="Q487" s="786">
        <v>6</v>
      </c>
      <c r="R487" s="780">
        <v>14312.199999999999</v>
      </c>
      <c r="S487" s="780"/>
      <c r="T487" s="12"/>
      <c r="U487" s="12"/>
      <c r="V487" s="12"/>
      <c r="W487" s="12"/>
      <c r="X487" s="12"/>
      <c r="Y487" s="12"/>
      <c r="Z487" s="780">
        <f t="shared" si="154"/>
        <v>14312.199999999999</v>
      </c>
      <c r="AA487" s="780"/>
      <c r="AB487" s="780"/>
      <c r="AC487" s="787"/>
      <c r="AD487" s="784">
        <f t="shared" si="155"/>
        <v>171746.4</v>
      </c>
      <c r="AE487" s="788">
        <f t="shared" si="156"/>
        <v>1030478.3999999999</v>
      </c>
      <c r="AF487" s="785">
        <f t="shared" si="157"/>
        <v>-1071.0399999999991</v>
      </c>
      <c r="AG487" s="786">
        <f t="shared" si="158"/>
        <v>0</v>
      </c>
      <c r="AH487" s="788">
        <f t="shared" si="159"/>
        <v>0</v>
      </c>
      <c r="AI487" s="786">
        <v>14312.199999999999</v>
      </c>
    </row>
    <row r="488" spans="1:35" ht="12.75" x14ac:dyDescent="0.2">
      <c r="A488" s="786" t="s">
        <v>2180</v>
      </c>
      <c r="B488" s="779">
        <v>1</v>
      </c>
      <c r="C488" s="780">
        <v>3056.4</v>
      </c>
      <c r="D488" s="780"/>
      <c r="E488" s="12"/>
      <c r="F488" s="12"/>
      <c r="G488" s="12"/>
      <c r="H488" s="12"/>
      <c r="I488" s="12"/>
      <c r="J488" s="12"/>
      <c r="K488" s="781">
        <f t="shared" si="151"/>
        <v>3056.4</v>
      </c>
      <c r="L488" s="12"/>
      <c r="M488" s="12"/>
      <c r="N488" s="162"/>
      <c r="O488" s="784">
        <f t="shared" si="152"/>
        <v>36676.800000000003</v>
      </c>
      <c r="P488" s="785">
        <f t="shared" si="153"/>
        <v>3056.4</v>
      </c>
      <c r="Q488" s="786">
        <v>1</v>
      </c>
      <c r="R488" s="780">
        <v>2953.5</v>
      </c>
      <c r="S488" s="780"/>
      <c r="T488" s="12"/>
      <c r="U488" s="12"/>
      <c r="V488" s="12"/>
      <c r="W488" s="12"/>
      <c r="X488" s="12"/>
      <c r="Y488" s="12"/>
      <c r="Z488" s="780">
        <f t="shared" si="154"/>
        <v>2953.5</v>
      </c>
      <c r="AA488" s="780"/>
      <c r="AB488" s="780"/>
      <c r="AC488" s="787"/>
      <c r="AD488" s="784">
        <f t="shared" si="155"/>
        <v>35442</v>
      </c>
      <c r="AE488" s="788">
        <f t="shared" si="156"/>
        <v>35442</v>
      </c>
      <c r="AF488" s="785">
        <f t="shared" si="157"/>
        <v>102.90000000000009</v>
      </c>
      <c r="AG488" s="786">
        <f t="shared" si="158"/>
        <v>0</v>
      </c>
      <c r="AH488" s="788">
        <f t="shared" si="159"/>
        <v>0</v>
      </c>
      <c r="AI488" s="786">
        <v>2953.5</v>
      </c>
    </row>
    <row r="489" spans="1:35" ht="12.75" x14ac:dyDescent="0.2">
      <c r="A489" s="786" t="s">
        <v>2181</v>
      </c>
      <c r="B489" s="779">
        <v>1</v>
      </c>
      <c r="C489" s="780">
        <v>2081.1999999999998</v>
      </c>
      <c r="D489" s="780"/>
      <c r="E489" s="12"/>
      <c r="F489" s="12"/>
      <c r="G489" s="12"/>
      <c r="H489" s="12"/>
      <c r="I489" s="12"/>
      <c r="J489" s="12"/>
      <c r="K489" s="781">
        <f t="shared" si="151"/>
        <v>2081.1999999999998</v>
      </c>
      <c r="L489" s="12"/>
      <c r="M489" s="12"/>
      <c r="N489" s="162"/>
      <c r="O489" s="784">
        <f t="shared" si="152"/>
        <v>24974.399999999998</v>
      </c>
      <c r="P489" s="785">
        <f t="shared" si="153"/>
        <v>2081.1999999999998</v>
      </c>
      <c r="Q489" s="786">
        <v>1</v>
      </c>
      <c r="R489" s="780">
        <v>2226</v>
      </c>
      <c r="S489" s="780"/>
      <c r="T489" s="12"/>
      <c r="U489" s="12"/>
      <c r="V489" s="12"/>
      <c r="W489" s="12"/>
      <c r="X489" s="12"/>
      <c r="Y489" s="12"/>
      <c r="Z489" s="780">
        <f t="shared" si="154"/>
        <v>2226</v>
      </c>
      <c r="AA489" s="780"/>
      <c r="AB489" s="780"/>
      <c r="AC489" s="787"/>
      <c r="AD489" s="784">
        <f t="shared" si="155"/>
        <v>26712</v>
      </c>
      <c r="AE489" s="788">
        <f t="shared" si="156"/>
        <v>26712</v>
      </c>
      <c r="AF489" s="785">
        <f t="shared" si="157"/>
        <v>-144.80000000000018</v>
      </c>
      <c r="AG489" s="786">
        <f t="shared" si="158"/>
        <v>0</v>
      </c>
      <c r="AH489" s="788">
        <f t="shared" si="159"/>
        <v>0</v>
      </c>
      <c r="AI489" s="786">
        <v>2226</v>
      </c>
    </row>
    <row r="490" spans="1:35" x14ac:dyDescent="0.2">
      <c r="A490" s="16"/>
      <c r="B490" s="16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62"/>
      <c r="O490" s="62"/>
      <c r="P490" s="17"/>
      <c r="Q490" s="16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62"/>
      <c r="AD490" s="62"/>
      <c r="AE490" s="17"/>
      <c r="AF490" s="17"/>
      <c r="AG490" s="16"/>
      <c r="AH490" s="17"/>
      <c r="AI490" s="16"/>
    </row>
    <row r="491" spans="1:35" ht="12.75" x14ac:dyDescent="0.2">
      <c r="A491" s="603" t="s">
        <v>70</v>
      </c>
      <c r="B491" s="779"/>
      <c r="C491" s="780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62"/>
      <c r="O491" s="62"/>
      <c r="P491" s="17"/>
      <c r="Q491" s="16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62"/>
      <c r="AD491" s="62"/>
      <c r="AE491" s="17"/>
      <c r="AF491" s="17"/>
      <c r="AG491" s="16"/>
      <c r="AH491" s="17"/>
      <c r="AI491" s="16"/>
    </row>
    <row r="492" spans="1:35" ht="12.75" x14ac:dyDescent="0.2">
      <c r="A492" s="786" t="s">
        <v>2182</v>
      </c>
      <c r="B492" s="779"/>
      <c r="C492" s="801">
        <v>9600</v>
      </c>
      <c r="D492" s="12"/>
      <c r="E492" s="12"/>
      <c r="F492" s="12"/>
      <c r="G492" s="12"/>
      <c r="H492" s="12"/>
      <c r="I492" s="12"/>
      <c r="J492" s="781"/>
      <c r="K492" s="12">
        <v>9600</v>
      </c>
      <c r="L492" s="12"/>
      <c r="M492" s="12"/>
      <c r="N492" s="162"/>
      <c r="O492" s="784">
        <v>115200</v>
      </c>
      <c r="P492" s="17"/>
      <c r="Q492" s="16"/>
      <c r="R492" s="801">
        <v>11600</v>
      </c>
      <c r="S492" s="12"/>
      <c r="T492" s="12"/>
      <c r="U492" s="12"/>
      <c r="V492" s="12"/>
      <c r="W492" s="12"/>
      <c r="X492" s="12"/>
      <c r="Y492" s="12"/>
      <c r="Z492" s="780">
        <f>+R492+S492+T492+U492+V492+W492+X492+Y492</f>
        <v>11600</v>
      </c>
      <c r="AA492" s="780"/>
      <c r="AB492" s="780"/>
      <c r="AC492" s="787"/>
      <c r="AD492" s="784">
        <f>+(Z492*12)+AC492</f>
        <v>139200</v>
      </c>
      <c r="AE492" s="788">
        <f>+Q492*AD492</f>
        <v>0</v>
      </c>
      <c r="AF492" s="785">
        <f>+C492-R492</f>
        <v>-2000</v>
      </c>
      <c r="AG492" s="786">
        <f>+B492-Q492</f>
        <v>0</v>
      </c>
      <c r="AH492" s="788">
        <f>+B492-Q492</f>
        <v>0</v>
      </c>
      <c r="AI492" s="786">
        <v>11600</v>
      </c>
    </row>
    <row r="493" spans="1:35" ht="12.75" thickBot="1" x14ac:dyDescent="0.25">
      <c r="A493" s="56"/>
      <c r="B493" s="137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3"/>
      <c r="O493" s="63"/>
      <c r="P493" s="64"/>
      <c r="Q493" s="137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3"/>
      <c r="AD493" s="63"/>
      <c r="AE493" s="64"/>
      <c r="AF493" s="64"/>
      <c r="AG493" s="137"/>
      <c r="AH493" s="64"/>
      <c r="AI493" s="137"/>
    </row>
    <row r="494" spans="1:35" ht="12.75" thickBot="1" x14ac:dyDescent="0.25">
      <c r="A494" s="102" t="s">
        <v>0</v>
      </c>
      <c r="B494" s="802">
        <f>SUM(B385:B493)</f>
        <v>540</v>
      </c>
      <c r="C494" s="802">
        <f t="shared" ref="C494:AI494" si="160">SUM(C385:C493)</f>
        <v>1947930.1000000006</v>
      </c>
      <c r="D494" s="802">
        <f t="shared" si="160"/>
        <v>114819.47000000003</v>
      </c>
      <c r="E494" s="802">
        <f t="shared" si="160"/>
        <v>0</v>
      </c>
      <c r="F494" s="802">
        <f t="shared" si="160"/>
        <v>0</v>
      </c>
      <c r="G494" s="802">
        <f t="shared" si="160"/>
        <v>0</v>
      </c>
      <c r="H494" s="802">
        <f t="shared" si="160"/>
        <v>0</v>
      </c>
      <c r="I494" s="802">
        <f t="shared" si="160"/>
        <v>0</v>
      </c>
      <c r="J494" s="802">
        <f t="shared" si="160"/>
        <v>0</v>
      </c>
      <c r="K494" s="802">
        <f t="shared" si="160"/>
        <v>2062749.5700000005</v>
      </c>
      <c r="L494" s="802">
        <f t="shared" si="160"/>
        <v>0</v>
      </c>
      <c r="M494" s="802">
        <f t="shared" si="160"/>
        <v>0</v>
      </c>
      <c r="N494" s="802">
        <f t="shared" si="160"/>
        <v>0</v>
      </c>
      <c r="O494" s="802">
        <f t="shared" si="160"/>
        <v>24752994.840000004</v>
      </c>
      <c r="P494" s="802">
        <f t="shared" si="160"/>
        <v>47950846.410000004</v>
      </c>
      <c r="Q494" s="802">
        <f t="shared" si="160"/>
        <v>522</v>
      </c>
      <c r="R494" s="802">
        <f t="shared" si="160"/>
        <v>2042313.0499999996</v>
      </c>
      <c r="S494" s="802">
        <f t="shared" si="160"/>
        <v>111009.06000000003</v>
      </c>
      <c r="T494" s="802">
        <f t="shared" si="160"/>
        <v>0</v>
      </c>
      <c r="U494" s="802">
        <f t="shared" si="160"/>
        <v>0</v>
      </c>
      <c r="V494" s="802">
        <f t="shared" si="160"/>
        <v>0</v>
      </c>
      <c r="W494" s="802">
        <f t="shared" si="160"/>
        <v>0</v>
      </c>
      <c r="X494" s="802">
        <f t="shared" si="160"/>
        <v>0</v>
      </c>
      <c r="Y494" s="802">
        <f t="shared" si="160"/>
        <v>0</v>
      </c>
      <c r="Z494" s="802">
        <f t="shared" si="160"/>
        <v>2153322.11</v>
      </c>
      <c r="AA494" s="802">
        <f t="shared" si="160"/>
        <v>0</v>
      </c>
      <c r="AB494" s="802">
        <f t="shared" si="160"/>
        <v>0</v>
      </c>
      <c r="AC494" s="802">
        <f t="shared" si="160"/>
        <v>0</v>
      </c>
      <c r="AD494" s="802">
        <f t="shared" si="160"/>
        <v>25839865.320000011</v>
      </c>
      <c r="AE494" s="802">
        <f t="shared" si="160"/>
        <v>611494917.48000014</v>
      </c>
      <c r="AF494" s="802">
        <f t="shared" si="160"/>
        <v>-94382.949999999837</v>
      </c>
      <c r="AG494" s="802">
        <f t="shared" si="160"/>
        <v>18</v>
      </c>
      <c r="AH494" s="802">
        <f t="shared" si="160"/>
        <v>18</v>
      </c>
      <c r="AI494" s="802">
        <f t="shared" si="160"/>
        <v>2042313.0499999996</v>
      </c>
    </row>
    <row r="495" spans="1:35" x14ac:dyDescent="0.2">
      <c r="A495" s="162" t="s">
        <v>73</v>
      </c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H495" s="162"/>
      <c r="AI495" s="162"/>
    </row>
    <row r="496" spans="1:35" x14ac:dyDescent="0.2">
      <c r="A496" s="162" t="s">
        <v>74</v>
      </c>
      <c r="B496" s="162" t="s">
        <v>168</v>
      </c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H496" s="162"/>
      <c r="AI496" s="162"/>
    </row>
    <row r="497" spans="1:35" x14ac:dyDescent="0.2">
      <c r="A497" s="162" t="s">
        <v>75</v>
      </c>
      <c r="B497" s="162" t="s">
        <v>76</v>
      </c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H497" s="162"/>
      <c r="AI497" s="162"/>
    </row>
    <row r="498" spans="1:35" x14ac:dyDescent="0.2">
      <c r="A498" s="162" t="s">
        <v>77</v>
      </c>
      <c r="B498" s="162" t="s">
        <v>78</v>
      </c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H498" s="162"/>
      <c r="AI498" s="162"/>
    </row>
    <row r="499" spans="1:35" x14ac:dyDescent="0.2">
      <c r="A499" s="162" t="s">
        <v>79</v>
      </c>
      <c r="B499" s="162" t="s">
        <v>80</v>
      </c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H499" s="162"/>
      <c r="AI499" s="162"/>
    </row>
    <row r="500" spans="1:35" x14ac:dyDescent="0.2">
      <c r="A500" s="162"/>
      <c r="B500" s="162" t="s">
        <v>81</v>
      </c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H500" s="162"/>
      <c r="AI500" s="162"/>
    </row>
    <row r="501" spans="1:35" x14ac:dyDescent="0.2">
      <c r="A501" s="162" t="s">
        <v>82</v>
      </c>
      <c r="B501" s="162" t="s">
        <v>159</v>
      </c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H501" s="162"/>
      <c r="AI501" s="162"/>
    </row>
    <row r="502" spans="1:35" x14ac:dyDescent="0.2">
      <c r="A502" s="162"/>
      <c r="B502" s="162" t="s">
        <v>83</v>
      </c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H502" s="162"/>
      <c r="AI502" s="162"/>
    </row>
    <row r="503" spans="1:35" x14ac:dyDescent="0.2">
      <c r="A503" s="162"/>
      <c r="B503" s="162" t="s">
        <v>84</v>
      </c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H503" s="162"/>
      <c r="AI503" s="162"/>
    </row>
    <row r="504" spans="1:35" x14ac:dyDescent="0.2">
      <c r="A504" s="162"/>
      <c r="B504" s="162" t="s">
        <v>85</v>
      </c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H504" s="162"/>
      <c r="AI504" s="162"/>
    </row>
    <row r="505" spans="1:35" x14ac:dyDescent="0.2">
      <c r="A505" s="162" t="s">
        <v>194</v>
      </c>
      <c r="B505" s="162" t="s">
        <v>195</v>
      </c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H505" s="162"/>
      <c r="AI505" s="162"/>
    </row>
    <row r="506" spans="1:35" x14ac:dyDescent="0.2">
      <c r="A506" s="162" t="s">
        <v>196</v>
      </c>
      <c r="B506" s="162" t="s">
        <v>164</v>
      </c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H506" s="162"/>
      <c r="AI506" s="162"/>
    </row>
    <row r="507" spans="1:35" x14ac:dyDescent="0.2">
      <c r="A507" s="162" t="s">
        <v>197</v>
      </c>
      <c r="B507" s="162" t="s">
        <v>160</v>
      </c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H507" s="162"/>
      <c r="AI507" s="162"/>
    </row>
    <row r="508" spans="1:35" x14ac:dyDescent="0.2">
      <c r="A508" s="162"/>
      <c r="B508" s="162" t="s">
        <v>83</v>
      </c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H508" s="162"/>
      <c r="AI508" s="162"/>
    </row>
    <row r="509" spans="1:35" x14ac:dyDescent="0.2">
      <c r="A509" s="162"/>
      <c r="B509" s="162" t="s">
        <v>84</v>
      </c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H509" s="162"/>
      <c r="AI509" s="162"/>
    </row>
    <row r="510" spans="1:35" x14ac:dyDescent="0.2">
      <c r="A510" s="162"/>
      <c r="B510" s="162" t="s">
        <v>123</v>
      </c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H510" s="162"/>
      <c r="AI510" s="162"/>
    </row>
    <row r="511" spans="1:35" x14ac:dyDescent="0.2">
      <c r="A511" s="162" t="s">
        <v>206</v>
      </c>
      <c r="B511" s="162" t="s">
        <v>207</v>
      </c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H511" s="162"/>
      <c r="AI511" s="162"/>
    </row>
    <row r="512" spans="1:35" x14ac:dyDescent="0.2">
      <c r="A512" s="162" t="s">
        <v>204</v>
      </c>
      <c r="B512" s="162" t="s">
        <v>200</v>
      </c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H512" s="162"/>
      <c r="AI512" s="162"/>
    </row>
    <row r="513" spans="1:35" x14ac:dyDescent="0.2">
      <c r="A513" s="162" t="s">
        <v>205</v>
      </c>
      <c r="B513" s="162" t="s">
        <v>208</v>
      </c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H513" s="162"/>
      <c r="AI513" s="162"/>
    </row>
    <row r="514" spans="1:35" x14ac:dyDescent="0.2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H514" s="162"/>
      <c r="AI514" s="162"/>
    </row>
    <row r="516" spans="1:35" ht="18" x14ac:dyDescent="0.25">
      <c r="A516" s="942" t="s">
        <v>2278</v>
      </c>
      <c r="B516" s="943"/>
      <c r="C516" s="944"/>
      <c r="D516" s="944"/>
      <c r="E516" s="944"/>
      <c r="F516" s="944"/>
      <c r="G516" s="944"/>
      <c r="H516" s="944"/>
      <c r="I516" s="944"/>
      <c r="J516" s="944"/>
      <c r="K516" s="944"/>
      <c r="L516" s="944"/>
      <c r="M516" s="944"/>
      <c r="N516" s="944"/>
      <c r="O516" s="944"/>
      <c r="P516" s="945"/>
      <c r="Q516" s="946"/>
      <c r="R516" s="947"/>
      <c r="S516" s="947"/>
      <c r="T516" s="947"/>
      <c r="U516" s="947"/>
      <c r="V516" s="947"/>
      <c r="W516" s="947"/>
      <c r="X516" s="948"/>
      <c r="Y516" s="948"/>
      <c r="Z516" s="948"/>
      <c r="AA516" s="947"/>
      <c r="AB516" s="949"/>
      <c r="AC516" s="947"/>
      <c r="AD516" s="947"/>
      <c r="AE516" s="947"/>
      <c r="AF516" s="947"/>
      <c r="AG516" s="943"/>
      <c r="AH516" s="943"/>
      <c r="AI516" s="947"/>
    </row>
    <row r="517" spans="1:35" ht="18" x14ac:dyDescent="0.25">
      <c r="A517" s="950" t="s">
        <v>2282</v>
      </c>
      <c r="B517" s="951"/>
      <c r="C517" s="952"/>
      <c r="D517" s="952"/>
      <c r="E517" s="952"/>
      <c r="F517" s="952"/>
      <c r="G517" s="952"/>
      <c r="H517" s="952"/>
      <c r="I517" s="952"/>
      <c r="J517" s="952"/>
      <c r="K517" s="952"/>
      <c r="L517" s="952"/>
      <c r="M517" s="952"/>
      <c r="N517" s="952"/>
      <c r="O517" s="952"/>
      <c r="P517" s="952"/>
      <c r="Q517" s="951"/>
      <c r="R517" s="953"/>
      <c r="S517" s="953"/>
      <c r="T517" s="953"/>
      <c r="U517" s="953"/>
      <c r="V517" s="953"/>
      <c r="W517" s="953"/>
      <c r="X517" s="954"/>
      <c r="Y517" s="954"/>
      <c r="Z517" s="954"/>
      <c r="AA517" s="953"/>
      <c r="AB517" s="955"/>
      <c r="AC517" s="953"/>
      <c r="AD517" s="953"/>
      <c r="AE517" s="947"/>
      <c r="AF517" s="947"/>
      <c r="AG517" s="943"/>
      <c r="AH517" s="943"/>
      <c r="AI517" s="947"/>
    </row>
    <row r="518" spans="1:35" ht="18.75" thickBot="1" x14ac:dyDescent="0.3">
      <c r="A518" s="942" t="s">
        <v>2283</v>
      </c>
      <c r="B518" s="951"/>
      <c r="C518" s="945"/>
      <c r="D518" s="945"/>
      <c r="E518" s="945"/>
      <c r="F518" s="945"/>
      <c r="G518" s="945"/>
      <c r="H518" s="945"/>
      <c r="I518" s="945"/>
      <c r="J518" s="945"/>
      <c r="K518" s="945"/>
      <c r="L518" s="945"/>
      <c r="M518" s="945"/>
      <c r="N518" s="945"/>
      <c r="O518" s="945"/>
      <c r="P518" s="945"/>
      <c r="Q518" s="956"/>
      <c r="R518" s="957"/>
      <c r="S518" s="957"/>
      <c r="T518" s="905"/>
      <c r="U518" s="957"/>
      <c r="V518" s="957"/>
      <c r="W518" s="957"/>
      <c r="X518" s="958"/>
      <c r="Y518" s="958"/>
      <c r="Z518" s="958"/>
      <c r="AA518" s="957"/>
      <c r="AB518" s="959"/>
      <c r="AC518" s="957"/>
      <c r="AD518" s="957"/>
      <c r="AE518" s="957"/>
      <c r="AF518" s="957"/>
      <c r="AG518" s="951"/>
      <c r="AH518" s="951"/>
      <c r="AI518" s="957"/>
    </row>
    <row r="519" spans="1:35" ht="18.75" thickBot="1" x14ac:dyDescent="0.25">
      <c r="A519" s="1504" t="s">
        <v>50</v>
      </c>
      <c r="B519" s="1507" t="s">
        <v>351</v>
      </c>
      <c r="C519" s="1507"/>
      <c r="D519" s="1507"/>
      <c r="E519" s="1507"/>
      <c r="F519" s="1507"/>
      <c r="G519" s="1507"/>
      <c r="H519" s="1507"/>
      <c r="I519" s="1507"/>
      <c r="J519" s="1507"/>
      <c r="K519" s="1507"/>
      <c r="L519" s="1507"/>
      <c r="M519" s="1507"/>
      <c r="N519" s="1507"/>
      <c r="O519" s="1507"/>
      <c r="P519" s="1507"/>
      <c r="Q519" s="1508" t="s">
        <v>440</v>
      </c>
      <c r="R519" s="1507"/>
      <c r="S519" s="1507"/>
      <c r="T519" s="1507"/>
      <c r="U519" s="1507"/>
      <c r="V519" s="1507"/>
      <c r="W519" s="1507"/>
      <c r="X519" s="1507"/>
      <c r="Y519" s="1507"/>
      <c r="Z519" s="1507"/>
      <c r="AA519" s="1507"/>
      <c r="AB519" s="1507"/>
      <c r="AC519" s="1507"/>
      <c r="AD519" s="1507"/>
      <c r="AE519" s="1509"/>
      <c r="AF519" s="1510" t="s">
        <v>442</v>
      </c>
      <c r="AG519" s="1511"/>
      <c r="AH519" s="1510" t="s">
        <v>441</v>
      </c>
      <c r="AI519" s="1511"/>
    </row>
    <row r="520" spans="1:35" ht="244.5" thickBot="1" x14ac:dyDescent="0.25">
      <c r="A520" s="1505"/>
      <c r="B520" s="960" t="s">
        <v>11</v>
      </c>
      <c r="C520" s="961" t="s">
        <v>153</v>
      </c>
      <c r="D520" s="962" t="s">
        <v>279</v>
      </c>
      <c r="E520" s="962" t="s">
        <v>155</v>
      </c>
      <c r="F520" s="962" t="s">
        <v>190</v>
      </c>
      <c r="G520" s="962" t="s">
        <v>191</v>
      </c>
      <c r="H520" s="962" t="s">
        <v>192</v>
      </c>
      <c r="I520" s="962" t="s">
        <v>193</v>
      </c>
      <c r="J520" s="962" t="s">
        <v>156</v>
      </c>
      <c r="K520" s="962" t="s">
        <v>157</v>
      </c>
      <c r="L520" s="962" t="s">
        <v>158</v>
      </c>
      <c r="M520" s="962" t="s">
        <v>189</v>
      </c>
      <c r="N520" s="963" t="s">
        <v>125</v>
      </c>
      <c r="O520" s="961" t="s">
        <v>163</v>
      </c>
      <c r="P520" s="961" t="s">
        <v>162</v>
      </c>
      <c r="Q520" s="964" t="s">
        <v>11</v>
      </c>
      <c r="R520" s="964" t="s">
        <v>153</v>
      </c>
      <c r="S520" s="962" t="s">
        <v>154</v>
      </c>
      <c r="T520" s="962" t="s">
        <v>155</v>
      </c>
      <c r="U520" s="962" t="s">
        <v>190</v>
      </c>
      <c r="V520" s="962" t="s">
        <v>191</v>
      </c>
      <c r="W520" s="962" t="s">
        <v>192</v>
      </c>
      <c r="X520" s="962" t="s">
        <v>193</v>
      </c>
      <c r="Y520" s="962" t="s">
        <v>156</v>
      </c>
      <c r="Z520" s="962" t="s">
        <v>157</v>
      </c>
      <c r="AA520" s="962" t="s">
        <v>158</v>
      </c>
      <c r="AB520" s="962" t="s">
        <v>189</v>
      </c>
      <c r="AC520" s="965" t="s">
        <v>125</v>
      </c>
      <c r="AD520" s="961" t="s">
        <v>163</v>
      </c>
      <c r="AE520" s="966" t="s">
        <v>352</v>
      </c>
      <c r="AF520" s="967" t="s">
        <v>167</v>
      </c>
      <c r="AG520" s="968" t="s">
        <v>166</v>
      </c>
      <c r="AH520" s="968" t="s">
        <v>11</v>
      </c>
      <c r="AI520" s="966" t="s">
        <v>353</v>
      </c>
    </row>
    <row r="521" spans="1:35" ht="27.75" x14ac:dyDescent="0.2">
      <c r="A521" s="1506"/>
      <c r="B521" s="969" t="s">
        <v>51</v>
      </c>
      <c r="C521" s="970" t="s">
        <v>52</v>
      </c>
      <c r="D521" s="971">
        <v>-3</v>
      </c>
      <c r="E521" s="971" t="s">
        <v>54</v>
      </c>
      <c r="F521" s="972" t="s">
        <v>55</v>
      </c>
      <c r="G521" s="972" t="s">
        <v>56</v>
      </c>
      <c r="H521" s="972" t="s">
        <v>86</v>
      </c>
      <c r="I521" s="972" t="s">
        <v>124</v>
      </c>
      <c r="J521" s="972" t="s">
        <v>161</v>
      </c>
      <c r="K521" s="972" t="s">
        <v>165</v>
      </c>
      <c r="L521" s="972" t="s">
        <v>198</v>
      </c>
      <c r="M521" s="972" t="s">
        <v>199</v>
      </c>
      <c r="N521" s="973" t="s">
        <v>201</v>
      </c>
      <c r="O521" s="974" t="s">
        <v>202</v>
      </c>
      <c r="P521" s="961" t="s">
        <v>203</v>
      </c>
      <c r="Q521" s="975" t="s">
        <v>51</v>
      </c>
      <c r="R521" s="975" t="s">
        <v>52</v>
      </c>
      <c r="S521" s="976" t="s">
        <v>53</v>
      </c>
      <c r="T521" s="976" t="s">
        <v>54</v>
      </c>
      <c r="U521" s="977" t="s">
        <v>55</v>
      </c>
      <c r="V521" s="977" t="s">
        <v>56</v>
      </c>
      <c r="W521" s="977" t="s">
        <v>86</v>
      </c>
      <c r="X521" s="977" t="s">
        <v>124</v>
      </c>
      <c r="Y521" s="977" t="s">
        <v>161</v>
      </c>
      <c r="Z521" s="977" t="s">
        <v>165</v>
      </c>
      <c r="AA521" s="977" t="s">
        <v>198</v>
      </c>
      <c r="AB521" s="977" t="s">
        <v>199</v>
      </c>
      <c r="AC521" s="978" t="s">
        <v>201</v>
      </c>
      <c r="AD521" s="979" t="s">
        <v>202</v>
      </c>
      <c r="AE521" s="980" t="s">
        <v>203</v>
      </c>
      <c r="AF521" s="981"/>
      <c r="AG521" s="969"/>
      <c r="AH521" s="975"/>
      <c r="AI521" s="982"/>
    </row>
    <row r="522" spans="1:35" ht="18" x14ac:dyDescent="0.25">
      <c r="A522" s="983"/>
      <c r="B522" s="984"/>
      <c r="C522" s="985"/>
      <c r="D522" s="985"/>
      <c r="E522" s="986"/>
      <c r="F522" s="986"/>
      <c r="G522" s="986"/>
      <c r="H522" s="986"/>
      <c r="I522" s="986"/>
      <c r="J522" s="986"/>
      <c r="K522" s="986"/>
      <c r="L522" s="986"/>
      <c r="M522" s="987"/>
      <c r="N522" s="986"/>
      <c r="O522" s="986"/>
      <c r="P522" s="988"/>
      <c r="Q522" s="984"/>
      <c r="R522" s="985"/>
      <c r="S522" s="985"/>
      <c r="T522" s="986"/>
      <c r="U522" s="986"/>
      <c r="V522" s="986"/>
      <c r="W522" s="986"/>
      <c r="X522" s="986"/>
      <c r="Y522" s="986"/>
      <c r="Z522" s="986"/>
      <c r="AA522" s="986"/>
      <c r="AB522" s="987"/>
      <c r="AC522" s="986"/>
      <c r="AD522" s="986"/>
      <c r="AE522" s="988"/>
      <c r="AF522" s="989"/>
      <c r="AG522" s="990"/>
      <c r="AH522" s="990"/>
      <c r="AI522" s="986"/>
    </row>
    <row r="523" spans="1:35" ht="18" x14ac:dyDescent="0.2">
      <c r="A523" s="991" t="s">
        <v>7</v>
      </c>
      <c r="B523" s="992">
        <f>SUM(B524:B525)</f>
        <v>1</v>
      </c>
      <c r="C523" s="993">
        <f t="shared" ref="C523" si="161">SUM(C524:C525)</f>
        <v>17338.920000000002</v>
      </c>
      <c r="D523" s="993">
        <f>SUM(D524:D525)</f>
        <v>43146</v>
      </c>
      <c r="E523" s="993">
        <f t="shared" ref="E523:I523" si="162">SUM(E524:E525)</f>
        <v>0</v>
      </c>
      <c r="F523" s="993">
        <f t="shared" si="162"/>
        <v>0</v>
      </c>
      <c r="G523" s="993">
        <f t="shared" si="162"/>
        <v>0</v>
      </c>
      <c r="H523" s="993">
        <f t="shared" si="162"/>
        <v>0</v>
      </c>
      <c r="I523" s="993">
        <f t="shared" si="162"/>
        <v>0</v>
      </c>
      <c r="J523" s="993">
        <f>SUM(J524:J525)</f>
        <v>0</v>
      </c>
      <c r="K523" s="993">
        <f t="shared" ref="K523:P523" si="163">SUM(K524:K525)</f>
        <v>60484.92</v>
      </c>
      <c r="L523" s="993">
        <f t="shared" si="163"/>
        <v>1000</v>
      </c>
      <c r="M523" s="993">
        <f t="shared" si="163"/>
        <v>0</v>
      </c>
      <c r="N523" s="993">
        <f t="shared" si="163"/>
        <v>1000</v>
      </c>
      <c r="O523" s="993">
        <f t="shared" si="163"/>
        <v>0</v>
      </c>
      <c r="P523" s="994">
        <f t="shared" si="163"/>
        <v>61484.92</v>
      </c>
      <c r="Q523" s="992">
        <f>SUM(Q524:Q525)</f>
        <v>1</v>
      </c>
      <c r="R523" s="993">
        <f t="shared" ref="R523:AI523" si="164">SUM(R524:R525)</f>
        <v>17338.920000000002</v>
      </c>
      <c r="S523" s="993">
        <f>SUM(S524:S525)</f>
        <v>43146</v>
      </c>
      <c r="T523" s="993">
        <f t="shared" si="164"/>
        <v>0</v>
      </c>
      <c r="U523" s="993">
        <f t="shared" si="164"/>
        <v>0</v>
      </c>
      <c r="V523" s="993">
        <f t="shared" si="164"/>
        <v>0</v>
      </c>
      <c r="W523" s="993">
        <f t="shared" si="164"/>
        <v>0</v>
      </c>
      <c r="X523" s="993">
        <f t="shared" si="164"/>
        <v>0</v>
      </c>
      <c r="Y523" s="993">
        <f>SUM(Y524:Y525)</f>
        <v>0</v>
      </c>
      <c r="Z523" s="993">
        <f t="shared" si="164"/>
        <v>60484.92</v>
      </c>
      <c r="AA523" s="993">
        <f t="shared" si="164"/>
        <v>1000</v>
      </c>
      <c r="AB523" s="993">
        <f t="shared" si="164"/>
        <v>0</v>
      </c>
      <c r="AC523" s="993">
        <f t="shared" si="164"/>
        <v>1000</v>
      </c>
      <c r="AD523" s="993">
        <f t="shared" si="164"/>
        <v>0</v>
      </c>
      <c r="AE523" s="994">
        <f t="shared" si="164"/>
        <v>61484.92</v>
      </c>
      <c r="AF523" s="995">
        <f t="shared" si="164"/>
        <v>0</v>
      </c>
      <c r="AG523" s="996">
        <f t="shared" si="164"/>
        <v>0</v>
      </c>
      <c r="AH523" s="996">
        <f>SUM(AH524:AH525)</f>
        <v>1</v>
      </c>
      <c r="AI523" s="996">
        <f t="shared" si="164"/>
        <v>17338.920000000002</v>
      </c>
    </row>
    <row r="524" spans="1:35" ht="18" x14ac:dyDescent="0.25">
      <c r="A524" s="997" t="s">
        <v>1401</v>
      </c>
      <c r="B524" s="998">
        <v>1</v>
      </c>
      <c r="C524" s="999">
        <v>17338.920000000002</v>
      </c>
      <c r="D524" s="999">
        <v>43146</v>
      </c>
      <c r="E524" s="1000"/>
      <c r="F524" s="1000"/>
      <c r="G524" s="1000"/>
      <c r="H524" s="1000"/>
      <c r="I524" s="1000"/>
      <c r="J524" s="1000"/>
      <c r="K524" s="985">
        <f>SUM(C524:J524)</f>
        <v>60484.92</v>
      </c>
      <c r="L524" s="1000">
        <f>B524*1000</f>
        <v>1000</v>
      </c>
      <c r="M524" s="1001"/>
      <c r="N524" s="985">
        <f>SUM(L524:M524)</f>
        <v>1000</v>
      </c>
      <c r="O524" s="985"/>
      <c r="P524" s="1002">
        <f>+K524+N524</f>
        <v>61484.92</v>
      </c>
      <c r="Q524" s="998">
        <v>1</v>
      </c>
      <c r="R524" s="999">
        <v>17338.920000000002</v>
      </c>
      <c r="S524" s="999">
        <v>43146</v>
      </c>
      <c r="T524" s="1000"/>
      <c r="U524" s="1000"/>
      <c r="V524" s="1000"/>
      <c r="W524" s="1000"/>
      <c r="X524" s="1000"/>
      <c r="Y524" s="1000"/>
      <c r="Z524" s="985">
        <f>SUM(R524:Y524)</f>
        <v>60484.92</v>
      </c>
      <c r="AA524" s="1000">
        <f>Q524*1000</f>
        <v>1000</v>
      </c>
      <c r="AB524" s="1001"/>
      <c r="AC524" s="985">
        <f>SUM(AA524:AB524)</f>
        <v>1000</v>
      </c>
      <c r="AD524" s="985"/>
      <c r="AE524" s="1002">
        <f>+Z524+AC524</f>
        <v>61484.92</v>
      </c>
      <c r="AF524" s="1003">
        <f>P524-AE524</f>
        <v>0</v>
      </c>
      <c r="AG524" s="990">
        <f>B524-Q524</f>
        <v>0</v>
      </c>
      <c r="AH524" s="1004">
        <v>1</v>
      </c>
      <c r="AI524" s="986">
        <f>C524</f>
        <v>17338.920000000002</v>
      </c>
    </row>
    <row r="525" spans="1:35" ht="18" x14ac:dyDescent="0.25">
      <c r="A525" s="1005"/>
      <c r="B525" s="1006"/>
      <c r="C525" s="985"/>
      <c r="D525" s="985"/>
      <c r="E525" s="985"/>
      <c r="F525" s="985"/>
      <c r="G525" s="985"/>
      <c r="H525" s="985"/>
      <c r="I525" s="985"/>
      <c r="J525" s="985"/>
      <c r="K525" s="985"/>
      <c r="L525" s="985"/>
      <c r="M525" s="1000"/>
      <c r="N525" s="985"/>
      <c r="O525" s="985"/>
      <c r="P525" s="1002"/>
      <c r="Q525" s="1006"/>
      <c r="R525" s="985"/>
      <c r="S525" s="985"/>
      <c r="T525" s="985"/>
      <c r="U525" s="985"/>
      <c r="V525" s="985"/>
      <c r="W525" s="985"/>
      <c r="X525" s="985"/>
      <c r="Y525" s="985"/>
      <c r="Z525" s="985"/>
      <c r="AA525" s="985"/>
      <c r="AB525" s="1000"/>
      <c r="AC525" s="985"/>
      <c r="AD525" s="985"/>
      <c r="AE525" s="1002"/>
      <c r="AF525" s="1003"/>
      <c r="AG525" s="990">
        <f>B525-Q525</f>
        <v>0</v>
      </c>
      <c r="AH525" s="1007"/>
      <c r="AI525" s="986"/>
    </row>
    <row r="526" spans="1:35" ht="18" x14ac:dyDescent="0.2">
      <c r="A526" s="991" t="s">
        <v>4</v>
      </c>
      <c r="B526" s="992">
        <f>SUM(B527:B545)</f>
        <v>156</v>
      </c>
      <c r="C526" s="993">
        <f t="shared" ref="C526:P526" si="165">SUM(C527:C545)</f>
        <v>7197919.6799999997</v>
      </c>
      <c r="D526" s="993">
        <f t="shared" si="165"/>
        <v>0</v>
      </c>
      <c r="E526" s="993">
        <f t="shared" si="165"/>
        <v>0</v>
      </c>
      <c r="F526" s="993">
        <f t="shared" si="165"/>
        <v>0</v>
      </c>
      <c r="G526" s="993">
        <f t="shared" si="165"/>
        <v>0</v>
      </c>
      <c r="H526" s="993">
        <f t="shared" si="165"/>
        <v>0</v>
      </c>
      <c r="I526" s="993">
        <f t="shared" si="165"/>
        <v>0</v>
      </c>
      <c r="J526" s="993">
        <f t="shared" si="165"/>
        <v>0</v>
      </c>
      <c r="K526" s="993">
        <f t="shared" si="165"/>
        <v>7197919.6799999997</v>
      </c>
      <c r="L526" s="993">
        <f t="shared" si="165"/>
        <v>156000</v>
      </c>
      <c r="M526" s="993">
        <f t="shared" si="165"/>
        <v>0</v>
      </c>
      <c r="N526" s="993">
        <f t="shared" si="165"/>
        <v>156000</v>
      </c>
      <c r="O526" s="993">
        <f t="shared" si="165"/>
        <v>0</v>
      </c>
      <c r="P526" s="994">
        <f t="shared" si="165"/>
        <v>8520628.3599999994</v>
      </c>
      <c r="Q526" s="992">
        <f>SUM(Q527:Q545)</f>
        <v>156</v>
      </c>
      <c r="R526" s="993">
        <f t="shared" ref="R526:AI526" si="166">SUM(R527:R545)</f>
        <v>7197919.6799999997</v>
      </c>
      <c r="S526" s="993">
        <f t="shared" si="166"/>
        <v>0</v>
      </c>
      <c r="T526" s="993">
        <f t="shared" si="166"/>
        <v>0</v>
      </c>
      <c r="U526" s="993">
        <f t="shared" si="166"/>
        <v>0</v>
      </c>
      <c r="V526" s="993">
        <f t="shared" si="166"/>
        <v>0</v>
      </c>
      <c r="W526" s="993">
        <f t="shared" si="166"/>
        <v>0</v>
      </c>
      <c r="X526" s="993">
        <f t="shared" si="166"/>
        <v>0</v>
      </c>
      <c r="Y526" s="993">
        <f t="shared" si="166"/>
        <v>0</v>
      </c>
      <c r="Z526" s="993">
        <f t="shared" si="166"/>
        <v>7197919.6799999997</v>
      </c>
      <c r="AA526" s="993">
        <f t="shared" si="166"/>
        <v>156000</v>
      </c>
      <c r="AB526" s="993">
        <f t="shared" si="166"/>
        <v>0</v>
      </c>
      <c r="AC526" s="993">
        <f t="shared" si="166"/>
        <v>156000</v>
      </c>
      <c r="AD526" s="993">
        <f t="shared" si="166"/>
        <v>0</v>
      </c>
      <c r="AE526" s="994">
        <f t="shared" si="166"/>
        <v>8520628.3599999994</v>
      </c>
      <c r="AF526" s="995">
        <f t="shared" si="166"/>
        <v>0</v>
      </c>
      <c r="AG526" s="996">
        <f t="shared" si="166"/>
        <v>0</v>
      </c>
      <c r="AH526" s="996">
        <f>SUM(AH527:AH545)</f>
        <v>157</v>
      </c>
      <c r="AI526" s="996">
        <f t="shared" si="166"/>
        <v>9674633.3484399989</v>
      </c>
    </row>
    <row r="527" spans="1:35" ht="18" x14ac:dyDescent="0.25">
      <c r="A527" s="997"/>
      <c r="B527" s="984"/>
      <c r="C527" s="985"/>
      <c r="D527" s="985"/>
      <c r="E527" s="985"/>
      <c r="F527" s="985"/>
      <c r="G527" s="985"/>
      <c r="H527" s="985"/>
      <c r="I527" s="985"/>
      <c r="J527" s="985"/>
      <c r="K527" s="985"/>
      <c r="L527" s="985"/>
      <c r="M527" s="1000"/>
      <c r="N527" s="985"/>
      <c r="O527" s="985"/>
      <c r="P527" s="1002"/>
      <c r="Q527" s="984"/>
      <c r="R527" s="985"/>
      <c r="S527" s="985"/>
      <c r="T527" s="985"/>
      <c r="U527" s="985"/>
      <c r="V527" s="985"/>
      <c r="W527" s="985"/>
      <c r="X527" s="985"/>
      <c r="Y527" s="985"/>
      <c r="Z527" s="985"/>
      <c r="AA527" s="985"/>
      <c r="AB527" s="1000"/>
      <c r="AC527" s="985"/>
      <c r="AD527" s="985"/>
      <c r="AE527" s="1002"/>
      <c r="AF527" s="1003"/>
      <c r="AG527" s="990">
        <f t="shared" ref="AG527:AG545" si="167">B527-Q527</f>
        <v>0</v>
      </c>
      <c r="AH527" s="990"/>
      <c r="AI527" s="986"/>
    </row>
    <row r="528" spans="1:35" ht="18" x14ac:dyDescent="0.25">
      <c r="A528" s="891" t="s">
        <v>1411</v>
      </c>
      <c r="B528" s="984">
        <v>38</v>
      </c>
      <c r="C528" s="999">
        <f>1129380+131654.88</f>
        <v>1261034.8799999999</v>
      </c>
      <c r="D528" s="999"/>
      <c r="E528" s="1000"/>
      <c r="F528" s="1000"/>
      <c r="G528" s="1000"/>
      <c r="H528" s="1000"/>
      <c r="I528" s="1000"/>
      <c r="J528" s="1000"/>
      <c r="K528" s="985">
        <f t="shared" ref="K528:K545" si="168">SUM(C528:J528)</f>
        <v>1261034.8799999999</v>
      </c>
      <c r="L528" s="1000">
        <f t="shared" ref="L528:L545" si="169">B528*1000</f>
        <v>38000</v>
      </c>
      <c r="M528" s="1001"/>
      <c r="N528" s="985">
        <f t="shared" ref="N528:N545" si="170">SUM(L528:M528)</f>
        <v>38000</v>
      </c>
      <c r="O528" s="985"/>
      <c r="P528" s="1008">
        <v>2465743.56</v>
      </c>
      <c r="Q528" s="984">
        <v>38</v>
      </c>
      <c r="R528" s="999">
        <f>1129380+131654.88</f>
        <v>1261034.8799999999</v>
      </c>
      <c r="S528" s="999"/>
      <c r="T528" s="1000"/>
      <c r="U528" s="1000"/>
      <c r="V528" s="1000"/>
      <c r="W528" s="1000"/>
      <c r="X528" s="1000"/>
      <c r="Y528" s="1000"/>
      <c r="Z528" s="985">
        <f t="shared" ref="Z528:Z545" si="171">SUM(R528:Y528)</f>
        <v>1261034.8799999999</v>
      </c>
      <c r="AA528" s="1000">
        <f t="shared" ref="AA528:AA545" si="172">Q528*1000</f>
        <v>38000</v>
      </c>
      <c r="AB528" s="1001"/>
      <c r="AC528" s="985">
        <f t="shared" ref="AC528:AC545" si="173">SUM(AA528:AB528)</f>
        <v>38000</v>
      </c>
      <c r="AD528" s="985"/>
      <c r="AE528" s="1008">
        <v>2465743.56</v>
      </c>
      <c r="AF528" s="1003">
        <f t="shared" ref="AF528:AF545" si="174">P528-AE528</f>
        <v>0</v>
      </c>
      <c r="AG528" s="990">
        <f t="shared" si="167"/>
        <v>0</v>
      </c>
      <c r="AH528" s="990">
        <v>39</v>
      </c>
      <c r="AI528" s="986">
        <v>1813416.52</v>
      </c>
    </row>
    <row r="529" spans="1:35" ht="18" x14ac:dyDescent="0.25">
      <c r="A529" s="891" t="s">
        <v>1410</v>
      </c>
      <c r="B529" s="984">
        <v>1</v>
      </c>
      <c r="C529" s="999">
        <v>35460</v>
      </c>
      <c r="D529" s="999"/>
      <c r="E529" s="985"/>
      <c r="F529" s="985"/>
      <c r="G529" s="985"/>
      <c r="H529" s="985"/>
      <c r="I529" s="985"/>
      <c r="J529" s="985"/>
      <c r="K529" s="985">
        <f t="shared" si="168"/>
        <v>35460</v>
      </c>
      <c r="L529" s="1000">
        <f t="shared" si="169"/>
        <v>1000</v>
      </c>
      <c r="M529" s="1001"/>
      <c r="N529" s="985">
        <f t="shared" si="170"/>
        <v>1000</v>
      </c>
      <c r="O529" s="985"/>
      <c r="P529" s="1002">
        <f t="shared" ref="P529:P545" si="175">+K529+N529</f>
        <v>36460</v>
      </c>
      <c r="Q529" s="984">
        <v>1</v>
      </c>
      <c r="R529" s="999">
        <v>35460</v>
      </c>
      <c r="S529" s="999"/>
      <c r="T529" s="985"/>
      <c r="U529" s="985"/>
      <c r="V529" s="985"/>
      <c r="W529" s="985"/>
      <c r="X529" s="985"/>
      <c r="Y529" s="985"/>
      <c r="Z529" s="985">
        <f t="shared" si="171"/>
        <v>35460</v>
      </c>
      <c r="AA529" s="1000">
        <f t="shared" si="172"/>
        <v>1000</v>
      </c>
      <c r="AB529" s="1001"/>
      <c r="AC529" s="985">
        <f t="shared" si="173"/>
        <v>1000</v>
      </c>
      <c r="AD529" s="985"/>
      <c r="AE529" s="1002">
        <f t="shared" ref="AE529:AE545" si="176">+Z529+AC529</f>
        <v>36460</v>
      </c>
      <c r="AF529" s="1003">
        <f t="shared" si="174"/>
        <v>0</v>
      </c>
      <c r="AG529" s="990">
        <f t="shared" si="167"/>
        <v>0</v>
      </c>
      <c r="AH529" s="990">
        <v>1</v>
      </c>
      <c r="AI529" s="986">
        <v>40765.996200000001</v>
      </c>
    </row>
    <row r="530" spans="1:35" ht="18" x14ac:dyDescent="0.25">
      <c r="A530" s="891" t="s">
        <v>1409</v>
      </c>
      <c r="B530" s="984">
        <v>1</v>
      </c>
      <c r="C530" s="999">
        <v>37380</v>
      </c>
      <c r="D530" s="999"/>
      <c r="E530" s="985"/>
      <c r="F530" s="985"/>
      <c r="G530" s="985"/>
      <c r="H530" s="985"/>
      <c r="I530" s="985"/>
      <c r="J530" s="985"/>
      <c r="K530" s="985">
        <f t="shared" si="168"/>
        <v>37380</v>
      </c>
      <c r="L530" s="1000">
        <f t="shared" si="169"/>
        <v>1000</v>
      </c>
      <c r="M530" s="1001"/>
      <c r="N530" s="985">
        <f t="shared" si="170"/>
        <v>1000</v>
      </c>
      <c r="O530" s="985"/>
      <c r="P530" s="1002">
        <f t="shared" si="175"/>
        <v>38380</v>
      </c>
      <c r="Q530" s="984">
        <v>1</v>
      </c>
      <c r="R530" s="999">
        <v>37380</v>
      </c>
      <c r="S530" s="999"/>
      <c r="T530" s="985"/>
      <c r="U530" s="985"/>
      <c r="V530" s="985"/>
      <c r="W530" s="985"/>
      <c r="X530" s="985"/>
      <c r="Y530" s="985"/>
      <c r="Z530" s="985">
        <f t="shared" si="171"/>
        <v>37380</v>
      </c>
      <c r="AA530" s="1000">
        <f t="shared" si="172"/>
        <v>1000</v>
      </c>
      <c r="AB530" s="1001"/>
      <c r="AC530" s="985">
        <f t="shared" si="173"/>
        <v>1000</v>
      </c>
      <c r="AD530" s="985"/>
      <c r="AE530" s="1002">
        <f t="shared" si="176"/>
        <v>38380</v>
      </c>
      <c r="AF530" s="1003">
        <f t="shared" si="174"/>
        <v>0</v>
      </c>
      <c r="AG530" s="990">
        <f t="shared" si="167"/>
        <v>0</v>
      </c>
      <c r="AH530" s="990">
        <v>1</v>
      </c>
      <c r="AI530" s="986">
        <v>56516.758600000001</v>
      </c>
    </row>
    <row r="531" spans="1:35" ht="18" x14ac:dyDescent="0.25">
      <c r="A531" s="891" t="s">
        <v>1407</v>
      </c>
      <c r="B531" s="984">
        <v>2</v>
      </c>
      <c r="C531" s="999">
        <v>84264</v>
      </c>
      <c r="D531" s="999"/>
      <c r="E531" s="985"/>
      <c r="F531" s="985"/>
      <c r="G531" s="985"/>
      <c r="H531" s="985"/>
      <c r="I531" s="985"/>
      <c r="J531" s="985"/>
      <c r="K531" s="985">
        <f t="shared" si="168"/>
        <v>84264</v>
      </c>
      <c r="L531" s="1000">
        <f t="shared" si="169"/>
        <v>2000</v>
      </c>
      <c r="M531" s="1001"/>
      <c r="N531" s="985">
        <f t="shared" si="170"/>
        <v>2000</v>
      </c>
      <c r="O531" s="985"/>
      <c r="P531" s="1002">
        <f t="shared" si="175"/>
        <v>86264</v>
      </c>
      <c r="Q531" s="984">
        <v>2</v>
      </c>
      <c r="R531" s="999">
        <v>84264</v>
      </c>
      <c r="S531" s="999"/>
      <c r="T531" s="985"/>
      <c r="U531" s="985"/>
      <c r="V531" s="985"/>
      <c r="W531" s="985"/>
      <c r="X531" s="985"/>
      <c r="Y531" s="985"/>
      <c r="Z531" s="985">
        <f t="shared" si="171"/>
        <v>84264</v>
      </c>
      <c r="AA531" s="1000">
        <f t="shared" si="172"/>
        <v>2000</v>
      </c>
      <c r="AB531" s="1001"/>
      <c r="AC531" s="985">
        <f t="shared" si="173"/>
        <v>2000</v>
      </c>
      <c r="AD531" s="985"/>
      <c r="AE531" s="1002">
        <f t="shared" si="176"/>
        <v>86264</v>
      </c>
      <c r="AF531" s="1003">
        <f t="shared" si="174"/>
        <v>0</v>
      </c>
      <c r="AG531" s="990">
        <f t="shared" si="167"/>
        <v>0</v>
      </c>
      <c r="AH531" s="990">
        <v>2</v>
      </c>
      <c r="AI531" s="986">
        <v>105537.57608</v>
      </c>
    </row>
    <row r="532" spans="1:35" ht="18" x14ac:dyDescent="0.25">
      <c r="A532" s="891" t="s">
        <v>1425</v>
      </c>
      <c r="B532" s="984">
        <v>20</v>
      </c>
      <c r="C532" s="999">
        <f>516288+168339.84</f>
        <v>684627.84</v>
      </c>
      <c r="D532" s="999"/>
      <c r="E532" s="985"/>
      <c r="F532" s="985"/>
      <c r="G532" s="985"/>
      <c r="H532" s="985"/>
      <c r="I532" s="985"/>
      <c r="J532" s="985"/>
      <c r="K532" s="985">
        <f t="shared" si="168"/>
        <v>684627.84</v>
      </c>
      <c r="L532" s="1000">
        <f t="shared" si="169"/>
        <v>20000</v>
      </c>
      <c r="M532" s="1001"/>
      <c r="N532" s="985">
        <f t="shared" si="170"/>
        <v>20000</v>
      </c>
      <c r="O532" s="985"/>
      <c r="P532" s="1002">
        <f t="shared" si="175"/>
        <v>704627.84</v>
      </c>
      <c r="Q532" s="984">
        <v>20</v>
      </c>
      <c r="R532" s="999">
        <f>516288+168339.84</f>
        <v>684627.84</v>
      </c>
      <c r="S532" s="999"/>
      <c r="T532" s="985"/>
      <c r="U532" s="985"/>
      <c r="V532" s="985"/>
      <c r="W532" s="985"/>
      <c r="X532" s="985"/>
      <c r="Y532" s="985"/>
      <c r="Z532" s="985">
        <f t="shared" si="171"/>
        <v>684627.84</v>
      </c>
      <c r="AA532" s="1000">
        <f t="shared" si="172"/>
        <v>20000</v>
      </c>
      <c r="AB532" s="1001"/>
      <c r="AC532" s="985">
        <f t="shared" si="173"/>
        <v>20000</v>
      </c>
      <c r="AD532" s="985"/>
      <c r="AE532" s="1002">
        <f t="shared" si="176"/>
        <v>704627.84</v>
      </c>
      <c r="AF532" s="1003">
        <f t="shared" si="174"/>
        <v>0</v>
      </c>
      <c r="AG532" s="990">
        <f t="shared" si="167"/>
        <v>0</v>
      </c>
      <c r="AH532" s="990">
        <v>20</v>
      </c>
      <c r="AI532" s="986">
        <v>958634.59920000006</v>
      </c>
    </row>
    <row r="533" spans="1:35" ht="18" x14ac:dyDescent="0.25">
      <c r="A533" s="891" t="s">
        <v>1424</v>
      </c>
      <c r="B533" s="984">
        <v>7</v>
      </c>
      <c r="C533" s="999">
        <v>248220</v>
      </c>
      <c r="D533" s="999"/>
      <c r="E533" s="985"/>
      <c r="F533" s="985"/>
      <c r="G533" s="985"/>
      <c r="H533" s="985"/>
      <c r="I533" s="985"/>
      <c r="J533" s="985"/>
      <c r="K533" s="985">
        <f t="shared" si="168"/>
        <v>248220</v>
      </c>
      <c r="L533" s="1000">
        <f t="shared" si="169"/>
        <v>7000</v>
      </c>
      <c r="M533" s="1001"/>
      <c r="N533" s="985">
        <f t="shared" si="170"/>
        <v>7000</v>
      </c>
      <c r="O533" s="985"/>
      <c r="P533" s="1002">
        <f t="shared" si="175"/>
        <v>255220</v>
      </c>
      <c r="Q533" s="984">
        <v>7</v>
      </c>
      <c r="R533" s="999">
        <v>248220</v>
      </c>
      <c r="S533" s="999"/>
      <c r="T533" s="985"/>
      <c r="U533" s="985"/>
      <c r="V533" s="985"/>
      <c r="W533" s="985"/>
      <c r="X533" s="985"/>
      <c r="Y533" s="985"/>
      <c r="Z533" s="985">
        <f t="shared" si="171"/>
        <v>248220</v>
      </c>
      <c r="AA533" s="1000">
        <f t="shared" si="172"/>
        <v>7000</v>
      </c>
      <c r="AB533" s="1001"/>
      <c r="AC533" s="985">
        <f t="shared" si="173"/>
        <v>7000</v>
      </c>
      <c r="AD533" s="985"/>
      <c r="AE533" s="1002">
        <f t="shared" si="176"/>
        <v>255220</v>
      </c>
      <c r="AF533" s="1003">
        <f t="shared" si="174"/>
        <v>0</v>
      </c>
      <c r="AG533" s="990">
        <f t="shared" si="167"/>
        <v>0</v>
      </c>
      <c r="AH533" s="990">
        <v>7</v>
      </c>
      <c r="AI533" s="986">
        <v>361426.17340000003</v>
      </c>
    </row>
    <row r="534" spans="1:35" ht="18" x14ac:dyDescent="0.25">
      <c r="A534" s="891" t="s">
        <v>1421</v>
      </c>
      <c r="B534" s="984">
        <v>1</v>
      </c>
      <c r="C534" s="999">
        <v>42132</v>
      </c>
      <c r="D534" s="999"/>
      <c r="E534" s="985"/>
      <c r="F534" s="985"/>
      <c r="G534" s="985"/>
      <c r="H534" s="985"/>
      <c r="I534" s="985"/>
      <c r="J534" s="985"/>
      <c r="K534" s="985">
        <f t="shared" si="168"/>
        <v>42132</v>
      </c>
      <c r="L534" s="1000">
        <f t="shared" si="169"/>
        <v>1000</v>
      </c>
      <c r="M534" s="1001"/>
      <c r="N534" s="985">
        <f t="shared" si="170"/>
        <v>1000</v>
      </c>
      <c r="O534" s="985"/>
      <c r="P534" s="1002">
        <f t="shared" si="175"/>
        <v>43132</v>
      </c>
      <c r="Q534" s="984">
        <v>1</v>
      </c>
      <c r="R534" s="999">
        <v>42132</v>
      </c>
      <c r="S534" s="999"/>
      <c r="T534" s="985"/>
      <c r="U534" s="985"/>
      <c r="V534" s="985"/>
      <c r="W534" s="985"/>
      <c r="X534" s="985"/>
      <c r="Y534" s="985"/>
      <c r="Z534" s="985">
        <f t="shared" si="171"/>
        <v>42132</v>
      </c>
      <c r="AA534" s="1000">
        <f t="shared" si="172"/>
        <v>1000</v>
      </c>
      <c r="AB534" s="1001"/>
      <c r="AC534" s="985">
        <f t="shared" si="173"/>
        <v>1000</v>
      </c>
      <c r="AD534" s="985"/>
      <c r="AE534" s="1002">
        <f t="shared" si="176"/>
        <v>43132</v>
      </c>
      <c r="AF534" s="1003">
        <f t="shared" si="174"/>
        <v>0</v>
      </c>
      <c r="AG534" s="990">
        <f t="shared" si="167"/>
        <v>0</v>
      </c>
      <c r="AH534" s="990">
        <v>1</v>
      </c>
      <c r="AI534" s="986">
        <v>59798.188039999994</v>
      </c>
    </row>
    <row r="535" spans="1:35" ht="18" x14ac:dyDescent="0.25">
      <c r="A535" s="1009" t="s">
        <v>1415</v>
      </c>
      <c r="B535" s="984">
        <v>12</v>
      </c>
      <c r="C535" s="999">
        <v>387216</v>
      </c>
      <c r="D535" s="999"/>
      <c r="E535" s="985"/>
      <c r="F535" s="985"/>
      <c r="G535" s="985"/>
      <c r="H535" s="985"/>
      <c r="I535" s="985"/>
      <c r="J535" s="985"/>
      <c r="K535" s="985">
        <f t="shared" si="168"/>
        <v>387216</v>
      </c>
      <c r="L535" s="1000">
        <f t="shared" si="169"/>
        <v>12000</v>
      </c>
      <c r="M535" s="1001"/>
      <c r="N535" s="985">
        <f t="shared" si="170"/>
        <v>12000</v>
      </c>
      <c r="O535" s="985"/>
      <c r="P535" s="1002">
        <f t="shared" si="175"/>
        <v>399216</v>
      </c>
      <c r="Q535" s="984">
        <v>12</v>
      </c>
      <c r="R535" s="999">
        <v>387216</v>
      </c>
      <c r="S535" s="999"/>
      <c r="T535" s="985"/>
      <c r="U535" s="985"/>
      <c r="V535" s="985"/>
      <c r="W535" s="985"/>
      <c r="X535" s="985"/>
      <c r="Y535" s="985"/>
      <c r="Z535" s="985">
        <f t="shared" si="171"/>
        <v>387216</v>
      </c>
      <c r="AA535" s="1000">
        <f t="shared" si="172"/>
        <v>12000</v>
      </c>
      <c r="AB535" s="1001"/>
      <c r="AC535" s="985">
        <f t="shared" si="173"/>
        <v>12000</v>
      </c>
      <c r="AD535" s="985"/>
      <c r="AE535" s="1002">
        <f t="shared" si="176"/>
        <v>399216</v>
      </c>
      <c r="AF535" s="1003">
        <f t="shared" si="174"/>
        <v>0</v>
      </c>
      <c r="AG535" s="990">
        <f t="shared" si="167"/>
        <v>0</v>
      </c>
      <c r="AH535" s="990">
        <v>12</v>
      </c>
      <c r="AI535" s="986">
        <v>422048.51964000007</v>
      </c>
    </row>
    <row r="536" spans="1:35" ht="18" x14ac:dyDescent="0.25">
      <c r="A536" s="1009" t="s">
        <v>1412</v>
      </c>
      <c r="B536" s="984">
        <v>1</v>
      </c>
      <c r="C536" s="999">
        <v>42132</v>
      </c>
      <c r="D536" s="999"/>
      <c r="E536" s="985"/>
      <c r="F536" s="985"/>
      <c r="G536" s="985"/>
      <c r="H536" s="985"/>
      <c r="I536" s="985"/>
      <c r="J536" s="985"/>
      <c r="K536" s="985">
        <f t="shared" si="168"/>
        <v>42132</v>
      </c>
      <c r="L536" s="1000">
        <f t="shared" si="169"/>
        <v>1000</v>
      </c>
      <c r="M536" s="1001"/>
      <c r="N536" s="985">
        <f t="shared" si="170"/>
        <v>1000</v>
      </c>
      <c r="O536" s="985"/>
      <c r="P536" s="1002">
        <f t="shared" si="175"/>
        <v>43132</v>
      </c>
      <c r="Q536" s="984">
        <v>1</v>
      </c>
      <c r="R536" s="999">
        <v>42132</v>
      </c>
      <c r="S536" s="999"/>
      <c r="T536" s="985"/>
      <c r="U536" s="985"/>
      <c r="V536" s="985"/>
      <c r="W536" s="985"/>
      <c r="X536" s="985"/>
      <c r="Y536" s="985"/>
      <c r="Z536" s="985">
        <f t="shared" si="171"/>
        <v>42132</v>
      </c>
      <c r="AA536" s="1000">
        <f t="shared" si="172"/>
        <v>1000</v>
      </c>
      <c r="AB536" s="1001"/>
      <c r="AC536" s="985">
        <f t="shared" si="173"/>
        <v>1000</v>
      </c>
      <c r="AD536" s="985"/>
      <c r="AE536" s="1002">
        <f t="shared" si="176"/>
        <v>43132</v>
      </c>
      <c r="AF536" s="1003">
        <f t="shared" si="174"/>
        <v>0</v>
      </c>
      <c r="AG536" s="990">
        <f t="shared" si="167"/>
        <v>0</v>
      </c>
      <c r="AH536" s="990">
        <v>1</v>
      </c>
      <c r="AI536" s="986">
        <v>57023.688040000001</v>
      </c>
    </row>
    <row r="537" spans="1:35" ht="18" x14ac:dyDescent="0.25">
      <c r="A537" s="1009" t="s">
        <v>1433</v>
      </c>
      <c r="B537" s="984"/>
      <c r="C537" s="985"/>
      <c r="D537" s="999"/>
      <c r="E537" s="985"/>
      <c r="F537" s="985"/>
      <c r="G537" s="985"/>
      <c r="H537" s="985"/>
      <c r="I537" s="985"/>
      <c r="J537" s="985"/>
      <c r="K537" s="985">
        <f t="shared" si="168"/>
        <v>0</v>
      </c>
      <c r="L537" s="1000">
        <f t="shared" si="169"/>
        <v>0</v>
      </c>
      <c r="M537" s="1001"/>
      <c r="N537" s="985">
        <f t="shared" si="170"/>
        <v>0</v>
      </c>
      <c r="O537" s="985"/>
      <c r="P537" s="1002">
        <f t="shared" si="175"/>
        <v>0</v>
      </c>
      <c r="Q537" s="984"/>
      <c r="R537" s="985"/>
      <c r="S537" s="999"/>
      <c r="T537" s="985"/>
      <c r="U537" s="985"/>
      <c r="V537" s="985"/>
      <c r="W537" s="985"/>
      <c r="X537" s="985"/>
      <c r="Y537" s="985"/>
      <c r="Z537" s="985">
        <f t="shared" si="171"/>
        <v>0</v>
      </c>
      <c r="AA537" s="1000">
        <f t="shared" si="172"/>
        <v>0</v>
      </c>
      <c r="AB537" s="1001"/>
      <c r="AC537" s="985">
        <f t="shared" si="173"/>
        <v>0</v>
      </c>
      <c r="AD537" s="985"/>
      <c r="AE537" s="1002">
        <f t="shared" si="176"/>
        <v>0</v>
      </c>
      <c r="AF537" s="1003">
        <f t="shared" si="174"/>
        <v>0</v>
      </c>
      <c r="AG537" s="990">
        <f t="shared" si="167"/>
        <v>0</v>
      </c>
      <c r="AH537" s="990"/>
      <c r="AI537" s="986">
        <v>43539.379960000006</v>
      </c>
    </row>
    <row r="538" spans="1:35" ht="18" x14ac:dyDescent="0.25">
      <c r="A538" s="1009" t="s">
        <v>1435</v>
      </c>
      <c r="B538" s="1006">
        <v>10</v>
      </c>
      <c r="C538" s="999">
        <f>290412+42084.96</f>
        <v>332496.96000000002</v>
      </c>
      <c r="D538" s="999"/>
      <c r="E538" s="985"/>
      <c r="F538" s="985"/>
      <c r="G538" s="985"/>
      <c r="H538" s="985"/>
      <c r="I538" s="985"/>
      <c r="J538" s="985"/>
      <c r="K538" s="985">
        <f t="shared" si="168"/>
        <v>332496.96000000002</v>
      </c>
      <c r="L538" s="1000">
        <f t="shared" si="169"/>
        <v>10000</v>
      </c>
      <c r="M538" s="1001"/>
      <c r="N538" s="985">
        <f t="shared" si="170"/>
        <v>10000</v>
      </c>
      <c r="O538" s="985"/>
      <c r="P538" s="1002">
        <f t="shared" si="175"/>
        <v>342496.96</v>
      </c>
      <c r="Q538" s="1006">
        <v>10</v>
      </c>
      <c r="R538" s="999">
        <f>290412+42084.96</f>
        <v>332496.96000000002</v>
      </c>
      <c r="S538" s="999"/>
      <c r="T538" s="985"/>
      <c r="U538" s="985"/>
      <c r="V538" s="985"/>
      <c r="W538" s="985"/>
      <c r="X538" s="985"/>
      <c r="Y538" s="985"/>
      <c r="Z538" s="985">
        <f t="shared" si="171"/>
        <v>332496.96000000002</v>
      </c>
      <c r="AA538" s="1000">
        <f t="shared" si="172"/>
        <v>10000</v>
      </c>
      <c r="AB538" s="1001"/>
      <c r="AC538" s="985">
        <f t="shared" si="173"/>
        <v>10000</v>
      </c>
      <c r="AD538" s="985"/>
      <c r="AE538" s="1002">
        <f t="shared" si="176"/>
        <v>342496.96</v>
      </c>
      <c r="AF538" s="1003">
        <f t="shared" si="174"/>
        <v>0</v>
      </c>
      <c r="AG538" s="990">
        <f t="shared" si="167"/>
        <v>0</v>
      </c>
      <c r="AH538" s="1007">
        <v>10</v>
      </c>
      <c r="AI538" s="986">
        <v>372723.79960000003</v>
      </c>
    </row>
    <row r="539" spans="1:35" ht="18" x14ac:dyDescent="0.25">
      <c r="A539" s="1009" t="s">
        <v>1430</v>
      </c>
      <c r="B539" s="984"/>
      <c r="C539" s="985"/>
      <c r="D539" s="999"/>
      <c r="E539" s="985"/>
      <c r="F539" s="985"/>
      <c r="G539" s="985"/>
      <c r="H539" s="985"/>
      <c r="I539" s="985"/>
      <c r="J539" s="985"/>
      <c r="K539" s="985">
        <f t="shared" si="168"/>
        <v>0</v>
      </c>
      <c r="L539" s="1000">
        <f t="shared" si="169"/>
        <v>0</v>
      </c>
      <c r="M539" s="1001"/>
      <c r="N539" s="985">
        <f t="shared" si="170"/>
        <v>0</v>
      </c>
      <c r="O539" s="985"/>
      <c r="P539" s="1002">
        <f t="shared" si="175"/>
        <v>0</v>
      </c>
      <c r="Q539" s="984"/>
      <c r="R539" s="985"/>
      <c r="S539" s="999"/>
      <c r="T539" s="985"/>
      <c r="U539" s="985"/>
      <c r="V539" s="985"/>
      <c r="W539" s="985"/>
      <c r="X539" s="985"/>
      <c r="Y539" s="985"/>
      <c r="Z539" s="985">
        <f t="shared" si="171"/>
        <v>0</v>
      </c>
      <c r="AA539" s="1000">
        <f t="shared" si="172"/>
        <v>0</v>
      </c>
      <c r="AB539" s="1001"/>
      <c r="AC539" s="985">
        <f t="shared" si="173"/>
        <v>0</v>
      </c>
      <c r="AD539" s="985"/>
      <c r="AE539" s="1002">
        <f t="shared" si="176"/>
        <v>0</v>
      </c>
      <c r="AF539" s="1003">
        <f t="shared" si="174"/>
        <v>0</v>
      </c>
      <c r="AG539" s="990">
        <f t="shared" si="167"/>
        <v>0</v>
      </c>
      <c r="AH539" s="990"/>
      <c r="AI539" s="986">
        <v>37139.379960000006</v>
      </c>
    </row>
    <row r="540" spans="1:35" ht="18" x14ac:dyDescent="0.25">
      <c r="A540" s="1009" t="s">
        <v>1429</v>
      </c>
      <c r="B540" s="998">
        <v>1</v>
      </c>
      <c r="C540" s="999">
        <v>35460</v>
      </c>
      <c r="D540" s="999"/>
      <c r="E540" s="985"/>
      <c r="F540" s="985"/>
      <c r="G540" s="985"/>
      <c r="H540" s="985"/>
      <c r="I540" s="985"/>
      <c r="J540" s="985"/>
      <c r="K540" s="985">
        <f t="shared" si="168"/>
        <v>35460</v>
      </c>
      <c r="L540" s="1000">
        <f t="shared" si="169"/>
        <v>1000</v>
      </c>
      <c r="M540" s="1001"/>
      <c r="N540" s="985">
        <f t="shared" si="170"/>
        <v>1000</v>
      </c>
      <c r="O540" s="985"/>
      <c r="P540" s="1002">
        <f t="shared" si="175"/>
        <v>36460</v>
      </c>
      <c r="Q540" s="998">
        <v>1</v>
      </c>
      <c r="R540" s="999">
        <v>35460</v>
      </c>
      <c r="S540" s="999"/>
      <c r="T540" s="985"/>
      <c r="U540" s="985"/>
      <c r="V540" s="985"/>
      <c r="W540" s="985"/>
      <c r="X540" s="985"/>
      <c r="Y540" s="985"/>
      <c r="Z540" s="985">
        <f t="shared" si="171"/>
        <v>35460</v>
      </c>
      <c r="AA540" s="1000">
        <f t="shared" si="172"/>
        <v>1000</v>
      </c>
      <c r="AB540" s="1001"/>
      <c r="AC540" s="985">
        <f t="shared" si="173"/>
        <v>1000</v>
      </c>
      <c r="AD540" s="985"/>
      <c r="AE540" s="1002">
        <f t="shared" si="176"/>
        <v>36460</v>
      </c>
      <c r="AF540" s="1003">
        <f t="shared" si="174"/>
        <v>0</v>
      </c>
      <c r="AG540" s="990">
        <f t="shared" si="167"/>
        <v>0</v>
      </c>
      <c r="AH540" s="1004">
        <v>1</v>
      </c>
      <c r="AI540" s="986">
        <v>46165.996200000001</v>
      </c>
    </row>
    <row r="541" spans="1:35" ht="18" x14ac:dyDescent="0.25">
      <c r="A541" s="1009" t="s">
        <v>1426</v>
      </c>
      <c r="B541" s="984">
        <v>2</v>
      </c>
      <c r="C541" s="999">
        <v>84264</v>
      </c>
      <c r="D541" s="999"/>
      <c r="E541" s="985"/>
      <c r="F541" s="985"/>
      <c r="G541" s="985"/>
      <c r="H541" s="985"/>
      <c r="I541" s="985"/>
      <c r="J541" s="985"/>
      <c r="K541" s="985">
        <f t="shared" si="168"/>
        <v>84264</v>
      </c>
      <c r="L541" s="1000">
        <f t="shared" si="169"/>
        <v>2000</v>
      </c>
      <c r="M541" s="1001"/>
      <c r="N541" s="985">
        <f t="shared" si="170"/>
        <v>2000</v>
      </c>
      <c r="O541" s="985"/>
      <c r="P541" s="1002">
        <f t="shared" si="175"/>
        <v>86264</v>
      </c>
      <c r="Q541" s="984">
        <v>2</v>
      </c>
      <c r="R541" s="999">
        <v>84264</v>
      </c>
      <c r="S541" s="999"/>
      <c r="T541" s="985"/>
      <c r="U541" s="985"/>
      <c r="V541" s="985"/>
      <c r="W541" s="985"/>
      <c r="X541" s="985"/>
      <c r="Y541" s="985"/>
      <c r="Z541" s="985">
        <f t="shared" si="171"/>
        <v>84264</v>
      </c>
      <c r="AA541" s="1000">
        <f t="shared" si="172"/>
        <v>2000</v>
      </c>
      <c r="AB541" s="1001"/>
      <c r="AC541" s="985">
        <f t="shared" si="173"/>
        <v>2000</v>
      </c>
      <c r="AD541" s="985"/>
      <c r="AE541" s="1002">
        <f t="shared" si="176"/>
        <v>86264</v>
      </c>
      <c r="AF541" s="1003">
        <f t="shared" si="174"/>
        <v>0</v>
      </c>
      <c r="AG541" s="990">
        <f t="shared" si="167"/>
        <v>0</v>
      </c>
      <c r="AH541" s="990">
        <v>2</v>
      </c>
      <c r="AI541" s="986">
        <v>102807.97607999999</v>
      </c>
    </row>
    <row r="542" spans="1:35" ht="18" x14ac:dyDescent="0.25">
      <c r="A542" s="1009" t="s">
        <v>1420</v>
      </c>
      <c r="B542" s="1010">
        <v>34</v>
      </c>
      <c r="C542" s="999">
        <v>2050200</v>
      </c>
      <c r="D542" s="999"/>
      <c r="E542" s="985"/>
      <c r="F542" s="985"/>
      <c r="G542" s="985"/>
      <c r="H542" s="985"/>
      <c r="I542" s="985"/>
      <c r="J542" s="985"/>
      <c r="K542" s="985">
        <f t="shared" si="168"/>
        <v>2050200</v>
      </c>
      <c r="L542" s="1000">
        <f t="shared" si="169"/>
        <v>34000</v>
      </c>
      <c r="M542" s="1001"/>
      <c r="N542" s="985">
        <f t="shared" si="170"/>
        <v>34000</v>
      </c>
      <c r="O542" s="985"/>
      <c r="P542" s="1002">
        <f t="shared" si="175"/>
        <v>2084200</v>
      </c>
      <c r="Q542" s="1010">
        <v>34</v>
      </c>
      <c r="R542" s="999">
        <v>2050200</v>
      </c>
      <c r="S542" s="999"/>
      <c r="T542" s="985"/>
      <c r="U542" s="985"/>
      <c r="V542" s="985"/>
      <c r="W542" s="985"/>
      <c r="X542" s="985"/>
      <c r="Y542" s="985"/>
      <c r="Z542" s="985">
        <f t="shared" si="171"/>
        <v>2050200</v>
      </c>
      <c r="AA542" s="1000">
        <f t="shared" si="172"/>
        <v>34000</v>
      </c>
      <c r="AB542" s="1001"/>
      <c r="AC542" s="985">
        <f t="shared" si="173"/>
        <v>34000</v>
      </c>
      <c r="AD542" s="985"/>
      <c r="AE542" s="1002">
        <f t="shared" si="176"/>
        <v>2084200</v>
      </c>
      <c r="AF542" s="1003">
        <f t="shared" si="174"/>
        <v>0</v>
      </c>
      <c r="AG542" s="990">
        <f t="shared" si="167"/>
        <v>0</v>
      </c>
      <c r="AH542" s="1011">
        <v>34</v>
      </c>
      <c r="AI542" s="986">
        <v>2796491.3206000002</v>
      </c>
    </row>
    <row r="543" spans="1:35" ht="18" x14ac:dyDescent="0.25">
      <c r="A543" s="1009" t="s">
        <v>1419</v>
      </c>
      <c r="B543" s="1010">
        <v>4</v>
      </c>
      <c r="C543" s="999">
        <v>253584</v>
      </c>
      <c r="D543" s="999"/>
      <c r="E543" s="985"/>
      <c r="F543" s="985"/>
      <c r="G543" s="985"/>
      <c r="H543" s="985"/>
      <c r="I543" s="985"/>
      <c r="J543" s="985"/>
      <c r="K543" s="985">
        <f t="shared" si="168"/>
        <v>253584</v>
      </c>
      <c r="L543" s="1000">
        <f t="shared" si="169"/>
        <v>4000</v>
      </c>
      <c r="M543" s="1001"/>
      <c r="N543" s="985">
        <f t="shared" si="170"/>
        <v>4000</v>
      </c>
      <c r="O543" s="985"/>
      <c r="P543" s="1002">
        <f t="shared" si="175"/>
        <v>257584</v>
      </c>
      <c r="Q543" s="1010">
        <v>4</v>
      </c>
      <c r="R543" s="999">
        <v>253584</v>
      </c>
      <c r="S543" s="999"/>
      <c r="T543" s="985"/>
      <c r="U543" s="985"/>
      <c r="V543" s="985"/>
      <c r="W543" s="985"/>
      <c r="X543" s="985"/>
      <c r="Y543" s="985"/>
      <c r="Z543" s="985">
        <f t="shared" si="171"/>
        <v>253584</v>
      </c>
      <c r="AA543" s="1000">
        <f t="shared" si="172"/>
        <v>4000</v>
      </c>
      <c r="AB543" s="1001"/>
      <c r="AC543" s="985">
        <f t="shared" si="173"/>
        <v>4000</v>
      </c>
      <c r="AD543" s="985"/>
      <c r="AE543" s="1002">
        <f t="shared" si="176"/>
        <v>257584</v>
      </c>
      <c r="AF543" s="1003">
        <f t="shared" si="174"/>
        <v>0</v>
      </c>
      <c r="AG543" s="990">
        <f t="shared" si="167"/>
        <v>0</v>
      </c>
      <c r="AH543" s="1011">
        <v>4</v>
      </c>
      <c r="AI543" s="986">
        <v>370035.76235999999</v>
      </c>
    </row>
    <row r="544" spans="1:35" ht="18" x14ac:dyDescent="0.25">
      <c r="A544" s="1009" t="s">
        <v>1418</v>
      </c>
      <c r="B544" s="984">
        <v>2</v>
      </c>
      <c r="C544" s="999">
        <v>133128</v>
      </c>
      <c r="D544" s="999"/>
      <c r="E544" s="985"/>
      <c r="F544" s="985"/>
      <c r="G544" s="985"/>
      <c r="H544" s="985"/>
      <c r="I544" s="985"/>
      <c r="J544" s="985"/>
      <c r="K544" s="985">
        <f t="shared" si="168"/>
        <v>133128</v>
      </c>
      <c r="L544" s="1000">
        <f t="shared" si="169"/>
        <v>2000</v>
      </c>
      <c r="M544" s="1001"/>
      <c r="N544" s="985">
        <f t="shared" si="170"/>
        <v>2000</v>
      </c>
      <c r="O544" s="985"/>
      <c r="P544" s="1002">
        <f t="shared" si="175"/>
        <v>135128</v>
      </c>
      <c r="Q544" s="984">
        <v>2</v>
      </c>
      <c r="R544" s="999">
        <v>133128</v>
      </c>
      <c r="S544" s="999"/>
      <c r="T544" s="985"/>
      <c r="U544" s="985"/>
      <c r="V544" s="985"/>
      <c r="W544" s="985"/>
      <c r="X544" s="985"/>
      <c r="Y544" s="985"/>
      <c r="Z544" s="985">
        <f t="shared" si="171"/>
        <v>133128</v>
      </c>
      <c r="AA544" s="1000">
        <f t="shared" si="172"/>
        <v>2000</v>
      </c>
      <c r="AB544" s="1001"/>
      <c r="AC544" s="985">
        <f t="shared" si="173"/>
        <v>2000</v>
      </c>
      <c r="AD544" s="985"/>
      <c r="AE544" s="1002">
        <f t="shared" si="176"/>
        <v>135128</v>
      </c>
      <c r="AF544" s="1003">
        <f t="shared" si="174"/>
        <v>0</v>
      </c>
      <c r="AG544" s="990">
        <f t="shared" si="167"/>
        <v>0</v>
      </c>
      <c r="AH544" s="990">
        <v>2</v>
      </c>
      <c r="AI544" s="986">
        <v>403636.31416000007</v>
      </c>
    </row>
    <row r="545" spans="1:35" ht="18" x14ac:dyDescent="0.25">
      <c r="A545" s="1009" t="s">
        <v>1417</v>
      </c>
      <c r="B545" s="984">
        <v>20</v>
      </c>
      <c r="C545" s="999">
        <v>1486320</v>
      </c>
      <c r="D545" s="999"/>
      <c r="E545" s="985"/>
      <c r="F545" s="985"/>
      <c r="G545" s="985"/>
      <c r="H545" s="985"/>
      <c r="I545" s="985"/>
      <c r="J545" s="985"/>
      <c r="K545" s="985">
        <f t="shared" si="168"/>
        <v>1486320</v>
      </c>
      <c r="L545" s="1000">
        <f t="shared" si="169"/>
        <v>20000</v>
      </c>
      <c r="M545" s="1001"/>
      <c r="N545" s="985">
        <f t="shared" si="170"/>
        <v>20000</v>
      </c>
      <c r="O545" s="985"/>
      <c r="P545" s="1002">
        <f t="shared" si="175"/>
        <v>1506320</v>
      </c>
      <c r="Q545" s="984">
        <v>20</v>
      </c>
      <c r="R545" s="999">
        <v>1486320</v>
      </c>
      <c r="S545" s="999"/>
      <c r="T545" s="985"/>
      <c r="U545" s="985"/>
      <c r="V545" s="985"/>
      <c r="W545" s="985"/>
      <c r="X545" s="985"/>
      <c r="Y545" s="985"/>
      <c r="Z545" s="985">
        <f t="shared" si="171"/>
        <v>1486320</v>
      </c>
      <c r="AA545" s="1000">
        <f t="shared" si="172"/>
        <v>20000</v>
      </c>
      <c r="AB545" s="1001"/>
      <c r="AC545" s="985">
        <f t="shared" si="173"/>
        <v>20000</v>
      </c>
      <c r="AD545" s="985"/>
      <c r="AE545" s="1002">
        <f t="shared" si="176"/>
        <v>1506320</v>
      </c>
      <c r="AF545" s="1003">
        <f t="shared" si="174"/>
        <v>0</v>
      </c>
      <c r="AG545" s="990">
        <f t="shared" si="167"/>
        <v>0</v>
      </c>
      <c r="AH545" s="990">
        <v>20</v>
      </c>
      <c r="AI545" s="986">
        <v>1626925.40032</v>
      </c>
    </row>
    <row r="546" spans="1:35" ht="18" x14ac:dyDescent="0.25">
      <c r="A546" s="1009"/>
      <c r="B546" s="984"/>
      <c r="C546" s="999"/>
      <c r="D546" s="999"/>
      <c r="E546" s="985"/>
      <c r="F546" s="985"/>
      <c r="G546" s="985"/>
      <c r="H546" s="985"/>
      <c r="I546" s="985"/>
      <c r="J546" s="985"/>
      <c r="K546" s="985"/>
      <c r="L546" s="985"/>
      <c r="M546" s="1001"/>
      <c r="N546" s="985"/>
      <c r="O546" s="985"/>
      <c r="P546" s="1002"/>
      <c r="Q546" s="984"/>
      <c r="R546" s="999"/>
      <c r="S546" s="999"/>
      <c r="T546" s="985"/>
      <c r="U546" s="985"/>
      <c r="V546" s="985"/>
      <c r="W546" s="985"/>
      <c r="X546" s="985"/>
      <c r="Y546" s="985"/>
      <c r="Z546" s="985"/>
      <c r="AA546" s="985"/>
      <c r="AB546" s="1001"/>
      <c r="AC546" s="985"/>
      <c r="AD546" s="985"/>
      <c r="AE546" s="1002"/>
      <c r="AF546" s="1003"/>
      <c r="AG546" s="990"/>
      <c r="AH546" s="990"/>
      <c r="AI546" s="986"/>
    </row>
    <row r="547" spans="1:35" ht="18" x14ac:dyDescent="0.2">
      <c r="A547" s="991" t="s">
        <v>5</v>
      </c>
      <c r="B547" s="992">
        <f>SUM(B548:B553)</f>
        <v>131</v>
      </c>
      <c r="C547" s="993">
        <f t="shared" ref="C547" si="177">SUM(C548:C553)</f>
        <v>2895460.8</v>
      </c>
      <c r="D547" s="993">
        <f>SUM(D548:D553)</f>
        <v>256122</v>
      </c>
      <c r="E547" s="993">
        <f t="shared" ref="E547:P547" si="178">SUM(E548:E553)</f>
        <v>0</v>
      </c>
      <c r="F547" s="993">
        <f t="shared" si="178"/>
        <v>0</v>
      </c>
      <c r="G547" s="993">
        <f t="shared" si="178"/>
        <v>0</v>
      </c>
      <c r="H547" s="993">
        <f t="shared" si="178"/>
        <v>0</v>
      </c>
      <c r="I547" s="993">
        <f t="shared" si="178"/>
        <v>0</v>
      </c>
      <c r="J547" s="993">
        <f t="shared" si="178"/>
        <v>0</v>
      </c>
      <c r="K547" s="993">
        <f t="shared" si="178"/>
        <v>3151582.8</v>
      </c>
      <c r="L547" s="993">
        <f t="shared" si="178"/>
        <v>131000</v>
      </c>
      <c r="M547" s="993">
        <f t="shared" si="178"/>
        <v>0</v>
      </c>
      <c r="N547" s="993">
        <f t="shared" si="178"/>
        <v>131000</v>
      </c>
      <c r="O547" s="993">
        <f t="shared" si="178"/>
        <v>0</v>
      </c>
      <c r="P547" s="994">
        <f t="shared" si="178"/>
        <v>3282582.8</v>
      </c>
      <c r="Q547" s="992">
        <f>SUM(Q548:Q553)</f>
        <v>131</v>
      </c>
      <c r="R547" s="993">
        <f t="shared" ref="R547:AI547" si="179">SUM(R548:R553)</f>
        <v>2895460.8</v>
      </c>
      <c r="S547" s="993">
        <f>SUM(S548:S553)</f>
        <v>256122</v>
      </c>
      <c r="T547" s="993">
        <f t="shared" si="179"/>
        <v>0</v>
      </c>
      <c r="U547" s="993">
        <f t="shared" si="179"/>
        <v>0</v>
      </c>
      <c r="V547" s="993">
        <f t="shared" si="179"/>
        <v>0</v>
      </c>
      <c r="W547" s="993">
        <f t="shared" si="179"/>
        <v>0</v>
      </c>
      <c r="X547" s="993">
        <f t="shared" si="179"/>
        <v>0</v>
      </c>
      <c r="Y547" s="993">
        <f t="shared" si="179"/>
        <v>0</v>
      </c>
      <c r="Z547" s="993">
        <f t="shared" si="179"/>
        <v>3151582.8</v>
      </c>
      <c r="AA547" s="993">
        <f t="shared" si="179"/>
        <v>131000</v>
      </c>
      <c r="AB547" s="993">
        <f t="shared" si="179"/>
        <v>0</v>
      </c>
      <c r="AC547" s="993">
        <f t="shared" si="179"/>
        <v>131000</v>
      </c>
      <c r="AD547" s="993">
        <f t="shared" si="179"/>
        <v>0</v>
      </c>
      <c r="AE547" s="994">
        <f t="shared" si="179"/>
        <v>3282582.8</v>
      </c>
      <c r="AF547" s="995">
        <f t="shared" si="179"/>
        <v>0</v>
      </c>
      <c r="AG547" s="996">
        <f t="shared" si="179"/>
        <v>0</v>
      </c>
      <c r="AH547" s="996">
        <f>SUM(AH548:AH553)</f>
        <v>132</v>
      </c>
      <c r="AI547" s="996">
        <f t="shared" si="179"/>
        <v>4032983.7073978949</v>
      </c>
    </row>
    <row r="548" spans="1:35" ht="18" x14ac:dyDescent="0.25">
      <c r="A548" s="891" t="s">
        <v>17</v>
      </c>
      <c r="B548" s="1006">
        <v>6</v>
      </c>
      <c r="C548" s="999">
        <v>92106</v>
      </c>
      <c r="D548" s="999">
        <v>60264</v>
      </c>
      <c r="E548" s="985"/>
      <c r="F548" s="985"/>
      <c r="G548" s="985"/>
      <c r="H548" s="985"/>
      <c r="I548" s="985"/>
      <c r="J548" s="985"/>
      <c r="K548" s="985">
        <f t="shared" ref="K548:K553" si="180">SUM(C548:J548)</f>
        <v>152370</v>
      </c>
      <c r="L548" s="1000">
        <f t="shared" ref="L548:L553" si="181">B548*1000</f>
        <v>6000</v>
      </c>
      <c r="M548" s="1001"/>
      <c r="N548" s="985">
        <f t="shared" ref="N548:N553" si="182">SUM(L548:M548)</f>
        <v>6000</v>
      </c>
      <c r="O548" s="985"/>
      <c r="P548" s="1002">
        <f t="shared" ref="P548:P553" si="183">+K548+N548</f>
        <v>158370</v>
      </c>
      <c r="Q548" s="1006">
        <v>6</v>
      </c>
      <c r="R548" s="999">
        <v>92106</v>
      </c>
      <c r="S548" s="999">
        <v>60264</v>
      </c>
      <c r="T548" s="985"/>
      <c r="U548" s="985"/>
      <c r="V548" s="985"/>
      <c r="W548" s="985"/>
      <c r="X548" s="985"/>
      <c r="Y548" s="985"/>
      <c r="Z548" s="985">
        <f t="shared" ref="Z548:Z553" si="184">SUM(R548:Y548)</f>
        <v>152370</v>
      </c>
      <c r="AA548" s="1000">
        <f t="shared" ref="AA548:AA553" si="185">Q548*1000</f>
        <v>6000</v>
      </c>
      <c r="AB548" s="1001"/>
      <c r="AC548" s="985">
        <f t="shared" ref="AC548:AC553" si="186">SUM(AA548:AB548)</f>
        <v>6000</v>
      </c>
      <c r="AD548" s="985"/>
      <c r="AE548" s="1002">
        <f t="shared" ref="AE548:AE553" si="187">+Z548+AC548</f>
        <v>158370</v>
      </c>
      <c r="AF548" s="1003">
        <f t="shared" ref="AF548:AF553" si="188">P548-AE548</f>
        <v>0</v>
      </c>
      <c r="AG548" s="990">
        <f t="shared" ref="AG548:AG553" si="189">B548-Q548</f>
        <v>0</v>
      </c>
      <c r="AH548" s="1007">
        <v>6</v>
      </c>
      <c r="AI548" s="986">
        <v>174685.73328000001</v>
      </c>
    </row>
    <row r="549" spans="1:35" ht="18" x14ac:dyDescent="0.25">
      <c r="A549" s="891" t="s">
        <v>1436</v>
      </c>
      <c r="B549" s="1006">
        <v>12</v>
      </c>
      <c r="C549" s="999">
        <v>276033.71999999997</v>
      </c>
      <c r="D549" s="999">
        <v>30132</v>
      </c>
      <c r="E549" s="985"/>
      <c r="F549" s="985"/>
      <c r="G549" s="985"/>
      <c r="H549" s="985"/>
      <c r="I549" s="985"/>
      <c r="J549" s="985"/>
      <c r="K549" s="985">
        <f t="shared" si="180"/>
        <v>306165.71999999997</v>
      </c>
      <c r="L549" s="1000">
        <f t="shared" si="181"/>
        <v>12000</v>
      </c>
      <c r="M549" s="1001"/>
      <c r="N549" s="985">
        <f t="shared" si="182"/>
        <v>12000</v>
      </c>
      <c r="O549" s="985"/>
      <c r="P549" s="1002">
        <f t="shared" si="183"/>
        <v>318165.71999999997</v>
      </c>
      <c r="Q549" s="1006">
        <v>12</v>
      </c>
      <c r="R549" s="999">
        <v>276033.71999999997</v>
      </c>
      <c r="S549" s="999">
        <v>30132</v>
      </c>
      <c r="T549" s="985"/>
      <c r="U549" s="985"/>
      <c r="V549" s="985"/>
      <c r="W549" s="985"/>
      <c r="X549" s="985"/>
      <c r="Y549" s="985"/>
      <c r="Z549" s="985">
        <f t="shared" si="184"/>
        <v>306165.71999999997</v>
      </c>
      <c r="AA549" s="1000">
        <f t="shared" si="185"/>
        <v>12000</v>
      </c>
      <c r="AB549" s="1001"/>
      <c r="AC549" s="985">
        <f t="shared" si="186"/>
        <v>12000</v>
      </c>
      <c r="AD549" s="985"/>
      <c r="AE549" s="1002">
        <f t="shared" si="187"/>
        <v>318165.71999999997</v>
      </c>
      <c r="AF549" s="1003">
        <f t="shared" si="188"/>
        <v>0</v>
      </c>
      <c r="AG549" s="990">
        <f t="shared" si="189"/>
        <v>0</v>
      </c>
      <c r="AH549" s="1007">
        <v>12</v>
      </c>
      <c r="AI549" s="986">
        <v>331604.63944</v>
      </c>
    </row>
    <row r="550" spans="1:35" ht="18" x14ac:dyDescent="0.25">
      <c r="A550" s="891" t="s">
        <v>1437</v>
      </c>
      <c r="B550" s="1006">
        <v>22</v>
      </c>
      <c r="C550" s="999">
        <v>522303.71999999991</v>
      </c>
      <c r="D550" s="999">
        <v>30132</v>
      </c>
      <c r="E550" s="985"/>
      <c r="F550" s="985"/>
      <c r="G550" s="985"/>
      <c r="H550" s="985"/>
      <c r="I550" s="985"/>
      <c r="J550" s="985"/>
      <c r="K550" s="985">
        <f t="shared" si="180"/>
        <v>552435.72</v>
      </c>
      <c r="L550" s="1000">
        <f t="shared" si="181"/>
        <v>22000</v>
      </c>
      <c r="M550" s="1001"/>
      <c r="N550" s="985">
        <f t="shared" si="182"/>
        <v>22000</v>
      </c>
      <c r="O550" s="985"/>
      <c r="P550" s="1002">
        <f t="shared" si="183"/>
        <v>574435.72</v>
      </c>
      <c r="Q550" s="1006">
        <v>22</v>
      </c>
      <c r="R550" s="999">
        <v>522303.71999999991</v>
      </c>
      <c r="S550" s="999">
        <v>30132</v>
      </c>
      <c r="T550" s="985"/>
      <c r="U550" s="985"/>
      <c r="V550" s="985"/>
      <c r="W550" s="985"/>
      <c r="X550" s="985"/>
      <c r="Y550" s="985"/>
      <c r="Z550" s="985">
        <f t="shared" si="184"/>
        <v>552435.72</v>
      </c>
      <c r="AA550" s="1000">
        <f t="shared" si="185"/>
        <v>22000</v>
      </c>
      <c r="AB550" s="1001"/>
      <c r="AC550" s="985">
        <f t="shared" si="186"/>
        <v>22000</v>
      </c>
      <c r="AD550" s="985"/>
      <c r="AE550" s="1002">
        <f t="shared" si="187"/>
        <v>574435.72</v>
      </c>
      <c r="AF550" s="1003">
        <f t="shared" si="188"/>
        <v>0</v>
      </c>
      <c r="AG550" s="990">
        <f t="shared" si="189"/>
        <v>0</v>
      </c>
      <c r="AH550" s="1007">
        <v>22</v>
      </c>
      <c r="AI550" s="986">
        <v>719149.93056000001</v>
      </c>
    </row>
    <row r="551" spans="1:35" ht="18" x14ac:dyDescent="0.25">
      <c r="A551" s="891" t="s">
        <v>1438</v>
      </c>
      <c r="B551" s="1006">
        <v>8</v>
      </c>
      <c r="C551" s="999">
        <v>71168.28</v>
      </c>
      <c r="D551" s="999">
        <v>120528</v>
      </c>
      <c r="E551" s="985"/>
      <c r="F551" s="985"/>
      <c r="G551" s="985"/>
      <c r="H551" s="985"/>
      <c r="I551" s="985"/>
      <c r="J551" s="985"/>
      <c r="K551" s="985">
        <f t="shared" si="180"/>
        <v>191696.28</v>
      </c>
      <c r="L551" s="1000">
        <f t="shared" si="181"/>
        <v>8000</v>
      </c>
      <c r="M551" s="1001"/>
      <c r="N551" s="985">
        <f t="shared" si="182"/>
        <v>8000</v>
      </c>
      <c r="O551" s="985"/>
      <c r="P551" s="1002">
        <f t="shared" si="183"/>
        <v>199696.28</v>
      </c>
      <c r="Q551" s="1006">
        <v>8</v>
      </c>
      <c r="R551" s="999">
        <v>71168.28</v>
      </c>
      <c r="S551" s="999">
        <v>120528</v>
      </c>
      <c r="T551" s="985"/>
      <c r="U551" s="985"/>
      <c r="V551" s="985"/>
      <c r="W551" s="985"/>
      <c r="X551" s="985"/>
      <c r="Y551" s="985"/>
      <c r="Z551" s="985">
        <f t="shared" si="184"/>
        <v>191696.28</v>
      </c>
      <c r="AA551" s="1000">
        <f t="shared" si="185"/>
        <v>8000</v>
      </c>
      <c r="AB551" s="1001"/>
      <c r="AC551" s="985">
        <f t="shared" si="186"/>
        <v>8000</v>
      </c>
      <c r="AD551" s="985"/>
      <c r="AE551" s="1002">
        <f t="shared" si="187"/>
        <v>199696.28</v>
      </c>
      <c r="AF551" s="1003">
        <f t="shared" si="188"/>
        <v>0</v>
      </c>
      <c r="AG551" s="990">
        <f t="shared" si="189"/>
        <v>0</v>
      </c>
      <c r="AH551" s="1007">
        <v>8</v>
      </c>
      <c r="AI551" s="986">
        <v>226695.53355789458</v>
      </c>
    </row>
    <row r="552" spans="1:35" ht="18" x14ac:dyDescent="0.25">
      <c r="A552" s="891" t="s">
        <v>18</v>
      </c>
      <c r="B552" s="1006">
        <v>4</v>
      </c>
      <c r="C552" s="999">
        <v>81483.48</v>
      </c>
      <c r="D552" s="999">
        <v>15066</v>
      </c>
      <c r="E552" s="985"/>
      <c r="F552" s="985"/>
      <c r="G552" s="985"/>
      <c r="H552" s="985"/>
      <c r="I552" s="985"/>
      <c r="J552" s="985"/>
      <c r="K552" s="985">
        <f t="shared" si="180"/>
        <v>96549.48</v>
      </c>
      <c r="L552" s="1000">
        <f t="shared" si="181"/>
        <v>4000</v>
      </c>
      <c r="M552" s="1001"/>
      <c r="N552" s="985">
        <f t="shared" si="182"/>
        <v>4000</v>
      </c>
      <c r="O552" s="985"/>
      <c r="P552" s="1002">
        <f t="shared" si="183"/>
        <v>100549.48</v>
      </c>
      <c r="Q552" s="1006">
        <v>4</v>
      </c>
      <c r="R552" s="999">
        <v>81483.48</v>
      </c>
      <c r="S552" s="999">
        <v>15066</v>
      </c>
      <c r="T552" s="985"/>
      <c r="U552" s="985"/>
      <c r="V552" s="985"/>
      <c r="W552" s="985"/>
      <c r="X552" s="985"/>
      <c r="Y552" s="985"/>
      <c r="Z552" s="985">
        <f t="shared" si="184"/>
        <v>96549.48</v>
      </c>
      <c r="AA552" s="1000">
        <f t="shared" si="185"/>
        <v>4000</v>
      </c>
      <c r="AB552" s="1001"/>
      <c r="AC552" s="985">
        <f t="shared" si="186"/>
        <v>4000</v>
      </c>
      <c r="AD552" s="985"/>
      <c r="AE552" s="1002">
        <f t="shared" si="187"/>
        <v>100549.48</v>
      </c>
      <c r="AF552" s="1003">
        <f t="shared" si="188"/>
        <v>0</v>
      </c>
      <c r="AG552" s="990">
        <f t="shared" si="189"/>
        <v>0</v>
      </c>
      <c r="AH552" s="1007">
        <v>4</v>
      </c>
      <c r="AI552" s="986">
        <v>91322.710560000007</v>
      </c>
    </row>
    <row r="553" spans="1:35" ht="18" x14ac:dyDescent="0.25">
      <c r="A553" s="891" t="s">
        <v>1439</v>
      </c>
      <c r="B553" s="1006">
        <v>79</v>
      </c>
      <c r="C553" s="999">
        <f>1428480+423885.6</f>
        <v>1852365.6</v>
      </c>
      <c r="D553" s="999"/>
      <c r="E553" s="985"/>
      <c r="F553" s="985"/>
      <c r="G553" s="985"/>
      <c r="H553" s="985"/>
      <c r="I553" s="985"/>
      <c r="J553" s="985"/>
      <c r="K553" s="985">
        <f t="shared" si="180"/>
        <v>1852365.6</v>
      </c>
      <c r="L553" s="1000">
        <f t="shared" si="181"/>
        <v>79000</v>
      </c>
      <c r="M553" s="1001"/>
      <c r="N553" s="985">
        <f t="shared" si="182"/>
        <v>79000</v>
      </c>
      <c r="O553" s="985"/>
      <c r="P553" s="1002">
        <f t="shared" si="183"/>
        <v>1931365.6</v>
      </c>
      <c r="Q553" s="1006">
        <v>79</v>
      </c>
      <c r="R553" s="999">
        <f>1428480+423885.6</f>
        <v>1852365.6</v>
      </c>
      <c r="S553" s="999"/>
      <c r="T553" s="985"/>
      <c r="U553" s="985"/>
      <c r="V553" s="985"/>
      <c r="W553" s="985"/>
      <c r="X553" s="985"/>
      <c r="Y553" s="985"/>
      <c r="Z553" s="985">
        <f t="shared" si="184"/>
        <v>1852365.6</v>
      </c>
      <c r="AA553" s="1000">
        <f t="shared" si="185"/>
        <v>79000</v>
      </c>
      <c r="AB553" s="1001"/>
      <c r="AC553" s="985">
        <f t="shared" si="186"/>
        <v>79000</v>
      </c>
      <c r="AD553" s="985"/>
      <c r="AE553" s="1002">
        <f t="shared" si="187"/>
        <v>1931365.6</v>
      </c>
      <c r="AF553" s="1003">
        <f t="shared" si="188"/>
        <v>0</v>
      </c>
      <c r="AG553" s="990">
        <f t="shared" si="189"/>
        <v>0</v>
      </c>
      <c r="AH553" s="1007">
        <v>80</v>
      </c>
      <c r="AI553" s="986">
        <v>2489525.16</v>
      </c>
    </row>
    <row r="554" spans="1:35" ht="18" x14ac:dyDescent="0.25">
      <c r="A554" s="891"/>
      <c r="B554" s="1006"/>
      <c r="C554" s="999"/>
      <c r="D554" s="999"/>
      <c r="E554" s="985"/>
      <c r="F554" s="985"/>
      <c r="G554" s="985"/>
      <c r="H554" s="985"/>
      <c r="I554" s="985"/>
      <c r="J554" s="985"/>
      <c r="K554" s="985"/>
      <c r="L554" s="985"/>
      <c r="M554" s="1001"/>
      <c r="N554" s="985"/>
      <c r="O554" s="985"/>
      <c r="P554" s="1002"/>
      <c r="Q554" s="1006"/>
      <c r="R554" s="999"/>
      <c r="S554" s="999"/>
      <c r="T554" s="985"/>
      <c r="U554" s="985"/>
      <c r="V554" s="985"/>
      <c r="W554" s="985"/>
      <c r="X554" s="985"/>
      <c r="Y554" s="985"/>
      <c r="Z554" s="985"/>
      <c r="AA554" s="985"/>
      <c r="AB554" s="1001"/>
      <c r="AC554" s="985"/>
      <c r="AD554" s="985"/>
      <c r="AE554" s="1002"/>
      <c r="AF554" s="1003"/>
      <c r="AG554" s="990"/>
      <c r="AH554" s="1007"/>
      <c r="AI554" s="986"/>
    </row>
    <row r="555" spans="1:35" ht="18" x14ac:dyDescent="0.2">
      <c r="A555" s="991" t="s">
        <v>6</v>
      </c>
      <c r="B555" s="992">
        <f>SUM(B556:B560)</f>
        <v>19</v>
      </c>
      <c r="C555" s="993">
        <f t="shared" ref="C555:P555" si="190">SUM(C556:C560)</f>
        <v>394186.44000000006</v>
      </c>
      <c r="D555" s="993">
        <f t="shared" si="190"/>
        <v>60264</v>
      </c>
      <c r="E555" s="993">
        <f t="shared" si="190"/>
        <v>0</v>
      </c>
      <c r="F555" s="993">
        <f t="shared" si="190"/>
        <v>0</v>
      </c>
      <c r="G555" s="993">
        <f t="shared" si="190"/>
        <v>0</v>
      </c>
      <c r="H555" s="993">
        <f t="shared" si="190"/>
        <v>0</v>
      </c>
      <c r="I555" s="993">
        <f t="shared" si="190"/>
        <v>0</v>
      </c>
      <c r="J555" s="993">
        <f t="shared" si="190"/>
        <v>0</v>
      </c>
      <c r="K555" s="993">
        <f t="shared" si="190"/>
        <v>454450.44</v>
      </c>
      <c r="L555" s="993">
        <f t="shared" si="190"/>
        <v>19000</v>
      </c>
      <c r="M555" s="993">
        <f t="shared" si="190"/>
        <v>0</v>
      </c>
      <c r="N555" s="993">
        <f t="shared" si="190"/>
        <v>19000</v>
      </c>
      <c r="O555" s="993">
        <f t="shared" si="190"/>
        <v>0</v>
      </c>
      <c r="P555" s="994">
        <f t="shared" si="190"/>
        <v>473450.44</v>
      </c>
      <c r="Q555" s="992">
        <f>SUM(Q556:Q560)</f>
        <v>19</v>
      </c>
      <c r="R555" s="993">
        <f t="shared" ref="R555:AI555" si="191">SUM(R556:R560)</f>
        <v>394186.44000000006</v>
      </c>
      <c r="S555" s="993">
        <f t="shared" si="191"/>
        <v>60264</v>
      </c>
      <c r="T555" s="993">
        <f t="shared" si="191"/>
        <v>0</v>
      </c>
      <c r="U555" s="993">
        <f t="shared" si="191"/>
        <v>0</v>
      </c>
      <c r="V555" s="993">
        <f t="shared" si="191"/>
        <v>0</v>
      </c>
      <c r="W555" s="993">
        <f t="shared" si="191"/>
        <v>0</v>
      </c>
      <c r="X555" s="993">
        <f t="shared" si="191"/>
        <v>0</v>
      </c>
      <c r="Y555" s="993">
        <f t="shared" si="191"/>
        <v>0</v>
      </c>
      <c r="Z555" s="993">
        <f t="shared" si="191"/>
        <v>454450.44</v>
      </c>
      <c r="AA555" s="993">
        <f t="shared" si="191"/>
        <v>19000</v>
      </c>
      <c r="AB555" s="993">
        <f t="shared" si="191"/>
        <v>0</v>
      </c>
      <c r="AC555" s="993">
        <f t="shared" si="191"/>
        <v>19000</v>
      </c>
      <c r="AD555" s="993">
        <f t="shared" si="191"/>
        <v>0</v>
      </c>
      <c r="AE555" s="994">
        <f t="shared" si="191"/>
        <v>473450.44</v>
      </c>
      <c r="AF555" s="995">
        <f t="shared" si="191"/>
        <v>0</v>
      </c>
      <c r="AG555" s="996">
        <f t="shared" si="191"/>
        <v>0</v>
      </c>
      <c r="AH555" s="996">
        <f>SUM(AH556:AH560)</f>
        <v>19</v>
      </c>
      <c r="AI555" s="996">
        <f t="shared" si="191"/>
        <v>423063.86647999997</v>
      </c>
    </row>
    <row r="556" spans="1:35" ht="18" x14ac:dyDescent="0.25">
      <c r="A556" s="891" t="s">
        <v>19</v>
      </c>
      <c r="B556" s="984">
        <v>1</v>
      </c>
      <c r="C556" s="999">
        <v>24415.800000000003</v>
      </c>
      <c r="D556" s="999"/>
      <c r="E556" s="985"/>
      <c r="F556" s="985"/>
      <c r="G556" s="985"/>
      <c r="H556" s="985"/>
      <c r="I556" s="985"/>
      <c r="J556" s="985"/>
      <c r="K556" s="985">
        <f>SUM(C556:J556)</f>
        <v>24415.800000000003</v>
      </c>
      <c r="L556" s="1000">
        <f>B556*1000</f>
        <v>1000</v>
      </c>
      <c r="M556" s="1001"/>
      <c r="N556" s="985">
        <f>SUM(L556:M556)</f>
        <v>1000</v>
      </c>
      <c r="O556" s="985"/>
      <c r="P556" s="1002">
        <f>+K556+N556</f>
        <v>25415.800000000003</v>
      </c>
      <c r="Q556" s="984">
        <v>1</v>
      </c>
      <c r="R556" s="999">
        <v>24415.800000000003</v>
      </c>
      <c r="S556" s="999"/>
      <c r="T556" s="985"/>
      <c r="U556" s="985"/>
      <c r="V556" s="985"/>
      <c r="W556" s="985"/>
      <c r="X556" s="985"/>
      <c r="Y556" s="985"/>
      <c r="Z556" s="985">
        <f>SUM(R556:Y556)</f>
        <v>24415.800000000003</v>
      </c>
      <c r="AA556" s="1000">
        <f>Q556*1000</f>
        <v>1000</v>
      </c>
      <c r="AB556" s="1001"/>
      <c r="AC556" s="985">
        <f>SUM(AA556:AB556)</f>
        <v>1000</v>
      </c>
      <c r="AD556" s="985"/>
      <c r="AE556" s="1002">
        <f>+Z556+AC556</f>
        <v>25415.800000000003</v>
      </c>
      <c r="AF556" s="1003">
        <f>P556-AE556</f>
        <v>0</v>
      </c>
      <c r="AG556" s="990">
        <f>B556-Q556</f>
        <v>0</v>
      </c>
      <c r="AH556" s="990">
        <v>1</v>
      </c>
      <c r="AI556" s="986">
        <v>19840.670000000002</v>
      </c>
    </row>
    <row r="557" spans="1:35" ht="18" x14ac:dyDescent="0.25">
      <c r="A557" s="891" t="s">
        <v>1440</v>
      </c>
      <c r="B557" s="984">
        <v>7</v>
      </c>
      <c r="C557" s="999">
        <v>118057.92</v>
      </c>
      <c r="D557" s="999">
        <v>45198</v>
      </c>
      <c r="E557" s="985"/>
      <c r="F557" s="985"/>
      <c r="G557" s="985"/>
      <c r="H557" s="985"/>
      <c r="I557" s="985"/>
      <c r="J557" s="985"/>
      <c r="K557" s="985">
        <f>SUM(C557:J557)</f>
        <v>163255.91999999998</v>
      </c>
      <c r="L557" s="1000">
        <f>B557*1000</f>
        <v>7000</v>
      </c>
      <c r="M557" s="1001"/>
      <c r="N557" s="985">
        <f>SUM(L557:M557)</f>
        <v>7000</v>
      </c>
      <c r="O557" s="985"/>
      <c r="P557" s="1002">
        <f>+K557+N557</f>
        <v>170255.91999999998</v>
      </c>
      <c r="Q557" s="984">
        <v>7</v>
      </c>
      <c r="R557" s="999">
        <v>118057.92</v>
      </c>
      <c r="S557" s="999">
        <v>45198</v>
      </c>
      <c r="T557" s="985"/>
      <c r="U557" s="985"/>
      <c r="V557" s="985"/>
      <c r="W557" s="985"/>
      <c r="X557" s="985"/>
      <c r="Y557" s="985"/>
      <c r="Z557" s="985">
        <f>SUM(R557:Y557)</f>
        <v>163255.91999999998</v>
      </c>
      <c r="AA557" s="1000">
        <f>Q557*1000</f>
        <v>7000</v>
      </c>
      <c r="AB557" s="1001"/>
      <c r="AC557" s="985">
        <f>SUM(AA557:AB557)</f>
        <v>7000</v>
      </c>
      <c r="AD557" s="985"/>
      <c r="AE557" s="1002">
        <f>+Z557+AC557</f>
        <v>170255.91999999998</v>
      </c>
      <c r="AF557" s="1003">
        <f>P557-AE557</f>
        <v>0</v>
      </c>
      <c r="AG557" s="990">
        <f>B557-Q557</f>
        <v>0</v>
      </c>
      <c r="AH557" s="990">
        <v>7</v>
      </c>
      <c r="AI557" s="986">
        <v>105418.96272</v>
      </c>
    </row>
    <row r="558" spans="1:35" ht="18" x14ac:dyDescent="0.25">
      <c r="A558" s="891" t="s">
        <v>1441</v>
      </c>
      <c r="B558" s="984">
        <v>2</v>
      </c>
      <c r="C558" s="999">
        <v>50381.88</v>
      </c>
      <c r="D558" s="999"/>
      <c r="E558" s="985"/>
      <c r="F558" s="985"/>
      <c r="G558" s="985"/>
      <c r="H558" s="985"/>
      <c r="I558" s="985"/>
      <c r="J558" s="985"/>
      <c r="K558" s="985">
        <f>SUM(C558:J558)</f>
        <v>50381.88</v>
      </c>
      <c r="L558" s="1000">
        <f>B558*1000</f>
        <v>2000</v>
      </c>
      <c r="M558" s="1001"/>
      <c r="N558" s="985">
        <f>SUM(L558:M558)</f>
        <v>2000</v>
      </c>
      <c r="O558" s="985"/>
      <c r="P558" s="1002">
        <f>+K558+N558</f>
        <v>52381.88</v>
      </c>
      <c r="Q558" s="984">
        <v>2</v>
      </c>
      <c r="R558" s="999">
        <v>50381.88</v>
      </c>
      <c r="S558" s="999"/>
      <c r="T558" s="985"/>
      <c r="U558" s="985"/>
      <c r="V558" s="985"/>
      <c r="W558" s="985"/>
      <c r="X558" s="985"/>
      <c r="Y558" s="985"/>
      <c r="Z558" s="985">
        <f>SUM(R558:Y558)</f>
        <v>50381.88</v>
      </c>
      <c r="AA558" s="1000">
        <f>Q558*1000</f>
        <v>2000</v>
      </c>
      <c r="AB558" s="1001"/>
      <c r="AC558" s="985">
        <f>SUM(AA558:AB558)</f>
        <v>2000</v>
      </c>
      <c r="AD558" s="985"/>
      <c r="AE558" s="1002">
        <f>+Z558+AC558</f>
        <v>52381.88</v>
      </c>
      <c r="AF558" s="1003">
        <f>P558-AE558</f>
        <v>0</v>
      </c>
      <c r="AG558" s="990">
        <f>B558-Q558</f>
        <v>0</v>
      </c>
      <c r="AH558" s="990">
        <v>2</v>
      </c>
      <c r="AI558" s="986">
        <v>60468.637519999997</v>
      </c>
    </row>
    <row r="559" spans="1:35" ht="18" x14ac:dyDescent="0.25">
      <c r="A559" s="891" t="s">
        <v>1442</v>
      </c>
      <c r="B559" s="984">
        <v>5</v>
      </c>
      <c r="C559" s="999">
        <v>107515.32</v>
      </c>
      <c r="D559" s="999">
        <v>15066</v>
      </c>
      <c r="E559" s="985"/>
      <c r="F559" s="985"/>
      <c r="G559" s="985"/>
      <c r="H559" s="985"/>
      <c r="I559" s="985"/>
      <c r="J559" s="985"/>
      <c r="K559" s="985">
        <f>SUM(C559:J559)</f>
        <v>122581.32</v>
      </c>
      <c r="L559" s="1000">
        <f>B559*1000</f>
        <v>5000</v>
      </c>
      <c r="M559" s="1001"/>
      <c r="N559" s="985">
        <f>SUM(L559:M559)</f>
        <v>5000</v>
      </c>
      <c r="O559" s="985"/>
      <c r="P559" s="1002">
        <f>+K559+N559</f>
        <v>127581.32</v>
      </c>
      <c r="Q559" s="984">
        <v>5</v>
      </c>
      <c r="R559" s="999">
        <v>107515.32</v>
      </c>
      <c r="S559" s="999">
        <v>15066</v>
      </c>
      <c r="T559" s="985"/>
      <c r="U559" s="985"/>
      <c r="V559" s="985"/>
      <c r="W559" s="985"/>
      <c r="X559" s="985"/>
      <c r="Y559" s="985"/>
      <c r="Z559" s="985">
        <f>SUM(R559:Y559)</f>
        <v>122581.32</v>
      </c>
      <c r="AA559" s="1000">
        <f>Q559*1000</f>
        <v>5000</v>
      </c>
      <c r="AB559" s="1001"/>
      <c r="AC559" s="985">
        <f>SUM(AA559:AB559)</f>
        <v>5000</v>
      </c>
      <c r="AD559" s="985"/>
      <c r="AE559" s="1002">
        <f>+Z559+AC559</f>
        <v>127581.32</v>
      </c>
      <c r="AF559" s="1003">
        <f>P559-AE559</f>
        <v>0</v>
      </c>
      <c r="AG559" s="990">
        <f>B559-Q559</f>
        <v>0</v>
      </c>
      <c r="AH559" s="990">
        <v>5</v>
      </c>
      <c r="AI559" s="986">
        <v>117603.66256</v>
      </c>
    </row>
    <row r="560" spans="1:35" ht="18" x14ac:dyDescent="0.25">
      <c r="A560" s="891" t="s">
        <v>1443</v>
      </c>
      <c r="B560" s="984">
        <v>4</v>
      </c>
      <c r="C560" s="999">
        <f>66024+27791.52</f>
        <v>93815.52</v>
      </c>
      <c r="D560" s="999"/>
      <c r="E560" s="985"/>
      <c r="F560" s="985"/>
      <c r="G560" s="985"/>
      <c r="H560" s="985"/>
      <c r="I560" s="985"/>
      <c r="J560" s="985"/>
      <c r="K560" s="985">
        <f>SUM(C560:J560)</f>
        <v>93815.52</v>
      </c>
      <c r="L560" s="1000">
        <f>B560*1000</f>
        <v>4000</v>
      </c>
      <c r="M560" s="1001"/>
      <c r="N560" s="985">
        <f>SUM(L560:M560)</f>
        <v>4000</v>
      </c>
      <c r="O560" s="985"/>
      <c r="P560" s="1002">
        <f>+K560+N560</f>
        <v>97815.52</v>
      </c>
      <c r="Q560" s="984">
        <v>4</v>
      </c>
      <c r="R560" s="999">
        <f>66024+27791.52</f>
        <v>93815.52</v>
      </c>
      <c r="S560" s="999"/>
      <c r="T560" s="985"/>
      <c r="U560" s="985"/>
      <c r="V560" s="985"/>
      <c r="W560" s="985"/>
      <c r="X560" s="985"/>
      <c r="Y560" s="985"/>
      <c r="Z560" s="985">
        <f>SUM(R560:Y560)</f>
        <v>93815.52</v>
      </c>
      <c r="AA560" s="1000">
        <f>Q560*1000</f>
        <v>4000</v>
      </c>
      <c r="AB560" s="1001"/>
      <c r="AC560" s="985">
        <f>SUM(AA560:AB560)</f>
        <v>4000</v>
      </c>
      <c r="AD560" s="985"/>
      <c r="AE560" s="1002">
        <f>+Z560+AC560</f>
        <v>97815.52</v>
      </c>
      <c r="AF560" s="1003">
        <f>P560-AE560</f>
        <v>0</v>
      </c>
      <c r="AG560" s="990">
        <f>B560-Q560</f>
        <v>0</v>
      </c>
      <c r="AH560" s="990">
        <v>4</v>
      </c>
      <c r="AI560" s="986">
        <v>119731.93368</v>
      </c>
    </row>
    <row r="561" spans="1:35" ht="18" x14ac:dyDescent="0.2">
      <c r="A561" s="1012" t="s">
        <v>2279</v>
      </c>
      <c r="B561" s="992">
        <f t="shared" ref="B561:AE561" si="192">+B555+B547+B526+B523</f>
        <v>307</v>
      </c>
      <c r="C561" s="993">
        <f t="shared" si="192"/>
        <v>10504905.84</v>
      </c>
      <c r="D561" s="993">
        <f t="shared" si="192"/>
        <v>359532</v>
      </c>
      <c r="E561" s="993">
        <f t="shared" si="192"/>
        <v>0</v>
      </c>
      <c r="F561" s="993">
        <f t="shared" si="192"/>
        <v>0</v>
      </c>
      <c r="G561" s="993">
        <f t="shared" si="192"/>
        <v>0</v>
      </c>
      <c r="H561" s="993">
        <f t="shared" si="192"/>
        <v>0</v>
      </c>
      <c r="I561" s="993">
        <f t="shared" si="192"/>
        <v>0</v>
      </c>
      <c r="J561" s="993">
        <f t="shared" si="192"/>
        <v>0</v>
      </c>
      <c r="K561" s="993">
        <f t="shared" si="192"/>
        <v>10864437.84</v>
      </c>
      <c r="L561" s="993">
        <f t="shared" si="192"/>
        <v>307000</v>
      </c>
      <c r="M561" s="993">
        <f t="shared" si="192"/>
        <v>0</v>
      </c>
      <c r="N561" s="993">
        <f t="shared" si="192"/>
        <v>307000</v>
      </c>
      <c r="O561" s="993">
        <f t="shared" si="192"/>
        <v>0</v>
      </c>
      <c r="P561" s="994">
        <f t="shared" si="192"/>
        <v>12338146.52</v>
      </c>
      <c r="Q561" s="992">
        <f t="shared" si="192"/>
        <v>307</v>
      </c>
      <c r="R561" s="993">
        <f t="shared" si="192"/>
        <v>10504905.84</v>
      </c>
      <c r="S561" s="993">
        <f t="shared" si="192"/>
        <v>359532</v>
      </c>
      <c r="T561" s="993">
        <f t="shared" si="192"/>
        <v>0</v>
      </c>
      <c r="U561" s="993">
        <f t="shared" si="192"/>
        <v>0</v>
      </c>
      <c r="V561" s="993">
        <f t="shared" si="192"/>
        <v>0</v>
      </c>
      <c r="W561" s="993">
        <f t="shared" si="192"/>
        <v>0</v>
      </c>
      <c r="X561" s="993">
        <f t="shared" si="192"/>
        <v>0</v>
      </c>
      <c r="Y561" s="993">
        <f t="shared" si="192"/>
        <v>0</v>
      </c>
      <c r="Z561" s="993">
        <f t="shared" si="192"/>
        <v>10864437.84</v>
      </c>
      <c r="AA561" s="993">
        <f t="shared" si="192"/>
        <v>307000</v>
      </c>
      <c r="AB561" s="993">
        <f t="shared" si="192"/>
        <v>0</v>
      </c>
      <c r="AC561" s="993">
        <f t="shared" si="192"/>
        <v>307000</v>
      </c>
      <c r="AD561" s="993">
        <f t="shared" si="192"/>
        <v>0</v>
      </c>
      <c r="AE561" s="994">
        <f t="shared" si="192"/>
        <v>12338146.52</v>
      </c>
      <c r="AF561" s="995"/>
      <c r="AG561" s="996">
        <f>+AG555+AG547+AG526+AG523</f>
        <v>0</v>
      </c>
      <c r="AH561" s="996">
        <f>+AH555+AH547+AH526+AH523</f>
        <v>309</v>
      </c>
      <c r="AI561" s="1013">
        <f>+AI555+AI547+AI526+AI523</f>
        <v>14148019.842317894</v>
      </c>
    </row>
    <row r="562" spans="1:35" ht="18" x14ac:dyDescent="0.2">
      <c r="A562" s="1014"/>
      <c r="B562" s="1015"/>
      <c r="C562" s="914"/>
      <c r="D562" s="914"/>
      <c r="E562" s="914"/>
      <c r="F562" s="914"/>
      <c r="G562" s="914"/>
      <c r="H562" s="914"/>
      <c r="I562" s="914"/>
      <c r="J562" s="914"/>
      <c r="K562" s="914"/>
      <c r="L562" s="914"/>
      <c r="M562" s="914"/>
      <c r="N562" s="914"/>
      <c r="O562" s="914"/>
      <c r="P562" s="914"/>
      <c r="Q562" s="1015"/>
      <c r="R562" s="914"/>
      <c r="S562" s="914"/>
      <c r="T562" s="914"/>
      <c r="U562" s="914"/>
      <c r="V562" s="914"/>
      <c r="W562" s="914"/>
      <c r="X562" s="914"/>
      <c r="Y562" s="914"/>
      <c r="Z562" s="914"/>
      <c r="AA562" s="914"/>
      <c r="AB562" s="914"/>
      <c r="AC562" s="914"/>
      <c r="AD562" s="914"/>
      <c r="AE562" s="914"/>
      <c r="AF562" s="914"/>
      <c r="AG562" s="1015"/>
      <c r="AH562" s="1015"/>
      <c r="AI562" s="1016"/>
    </row>
    <row r="563" spans="1:35" ht="18" x14ac:dyDescent="0.25">
      <c r="A563" s="1017" t="s">
        <v>73</v>
      </c>
      <c r="B563" s="1018"/>
      <c r="C563" s="1019"/>
      <c r="D563" s="1019"/>
      <c r="E563" s="1019"/>
      <c r="F563" s="1019"/>
      <c r="G563" s="1019"/>
      <c r="H563" s="1019"/>
      <c r="I563" s="1019"/>
      <c r="J563" s="1019"/>
      <c r="K563" s="1019"/>
      <c r="L563" s="1019"/>
      <c r="M563" s="1019"/>
      <c r="N563" s="1019"/>
      <c r="O563" s="1019"/>
      <c r="P563" s="1020"/>
      <c r="Q563" s="1021"/>
      <c r="R563" s="1022"/>
      <c r="S563" s="1022"/>
      <c r="T563" s="1022"/>
      <c r="U563" s="1022"/>
      <c r="V563" s="1022"/>
      <c r="W563" s="1022"/>
      <c r="X563" s="1023"/>
      <c r="Y563" s="1023"/>
      <c r="Z563" s="1023"/>
      <c r="AA563" s="1022"/>
      <c r="AB563" s="949"/>
      <c r="AC563" s="1022"/>
      <c r="AD563" s="1022"/>
      <c r="AE563" s="1022"/>
      <c r="AF563" s="1022"/>
      <c r="AG563" s="1024"/>
      <c r="AH563" s="1018"/>
      <c r="AI563" s="1022"/>
    </row>
    <row r="564" spans="1:35" ht="18" x14ac:dyDescent="0.25">
      <c r="A564" s="1025" t="s">
        <v>74</v>
      </c>
      <c r="B564" s="1026" t="s">
        <v>168</v>
      </c>
      <c r="C564" s="1019"/>
      <c r="D564" s="1019"/>
      <c r="E564" s="1019"/>
      <c r="F564" s="1019"/>
      <c r="G564" s="1019"/>
      <c r="H564" s="1019"/>
      <c r="I564" s="1019"/>
      <c r="J564" s="1019"/>
      <c r="K564" s="1019"/>
      <c r="L564" s="1019"/>
      <c r="M564" s="1019"/>
      <c r="N564" s="1019"/>
      <c r="O564" s="1019"/>
      <c r="P564" s="1019"/>
      <c r="Q564" s="1021"/>
      <c r="R564" s="1022"/>
      <c r="S564" s="1027"/>
      <c r="T564" s="1022"/>
      <c r="U564" s="1022"/>
      <c r="V564" s="1022"/>
      <c r="W564" s="1022"/>
      <c r="X564" s="1023"/>
      <c r="Y564" s="1023"/>
      <c r="Z564" s="1023"/>
      <c r="AA564" s="1022"/>
      <c r="AB564" s="949"/>
      <c r="AC564" s="1022"/>
      <c r="AD564" s="1022"/>
      <c r="AE564" s="1022"/>
      <c r="AF564" s="1022"/>
      <c r="AG564" s="1024"/>
      <c r="AH564" s="1018"/>
      <c r="AI564" s="1022"/>
    </row>
    <row r="565" spans="1:35" ht="18" x14ac:dyDescent="0.25">
      <c r="A565" s="1025" t="s">
        <v>75</v>
      </c>
      <c r="B565" s="1026" t="s">
        <v>76</v>
      </c>
      <c r="C565" s="1019"/>
      <c r="D565" s="1019"/>
      <c r="E565" s="1019"/>
      <c r="F565" s="1019"/>
      <c r="G565" s="1019"/>
      <c r="H565" s="1019"/>
      <c r="I565" s="1019"/>
      <c r="J565" s="1019"/>
      <c r="K565" s="1019"/>
      <c r="L565" s="1019"/>
      <c r="M565" s="1019"/>
      <c r="N565" s="1019"/>
      <c r="O565" s="1019"/>
      <c r="P565" s="1020"/>
      <c r="Q565" s="1021"/>
      <c r="R565" s="1022"/>
      <c r="S565" s="1022"/>
      <c r="T565" s="1022"/>
      <c r="U565" s="1022"/>
      <c r="V565" s="1022"/>
      <c r="W565" s="1022"/>
      <c r="X565" s="1023"/>
      <c r="Y565" s="1023"/>
      <c r="Z565" s="1023"/>
      <c r="AA565" s="1022"/>
      <c r="AB565" s="949"/>
      <c r="AC565" s="1022"/>
      <c r="AD565" s="1022"/>
      <c r="AE565" s="1028"/>
      <c r="AF565" s="1022"/>
      <c r="AG565" s="1024"/>
      <c r="AH565" s="1018"/>
      <c r="AI565" s="1022"/>
    </row>
    <row r="566" spans="1:35" ht="18" x14ac:dyDescent="0.25">
      <c r="A566" s="1025" t="s">
        <v>77</v>
      </c>
      <c r="B566" s="1026" t="s">
        <v>78</v>
      </c>
      <c r="C566" s="1019"/>
      <c r="D566" s="1019"/>
      <c r="E566" s="1019"/>
      <c r="F566" s="1019"/>
      <c r="G566" s="1019"/>
      <c r="H566" s="1019"/>
      <c r="I566" s="1019"/>
      <c r="J566" s="1019"/>
      <c r="K566" s="1019"/>
      <c r="L566" s="1019"/>
      <c r="M566" s="1019"/>
      <c r="N566" s="1019"/>
      <c r="O566" s="1019"/>
      <c r="P566" s="1029"/>
      <c r="Q566" s="1021"/>
      <c r="R566" s="1022"/>
      <c r="S566" s="1022"/>
      <c r="T566" s="1022"/>
      <c r="U566" s="1022"/>
      <c r="V566" s="1022"/>
      <c r="W566" s="1022"/>
      <c r="X566" s="1023"/>
      <c r="Y566" s="1023"/>
      <c r="Z566" s="1023"/>
      <c r="AA566" s="1022"/>
      <c r="AB566" s="949"/>
      <c r="AC566" s="1022"/>
      <c r="AD566" s="1022"/>
      <c r="AE566" s="1022"/>
      <c r="AF566" s="1022"/>
      <c r="AG566" s="1024"/>
      <c r="AH566" s="1018"/>
      <c r="AI566" s="1022"/>
    </row>
    <row r="567" spans="1:35" ht="18" x14ac:dyDescent="0.25">
      <c r="A567" s="1025" t="s">
        <v>79</v>
      </c>
      <c r="B567" s="1026" t="s">
        <v>80</v>
      </c>
      <c r="C567" s="1019"/>
      <c r="D567" s="1019"/>
      <c r="E567" s="1019"/>
      <c r="F567" s="1019"/>
      <c r="G567" s="1019"/>
      <c r="H567" s="1019"/>
      <c r="I567" s="1019"/>
      <c r="J567" s="1019"/>
      <c r="K567" s="1019"/>
      <c r="L567" s="1019"/>
      <c r="M567" s="1019"/>
      <c r="N567" s="1019"/>
      <c r="O567" s="1019"/>
      <c r="P567" s="1020"/>
      <c r="Q567" s="1021"/>
      <c r="R567" s="1022"/>
      <c r="S567" s="1022"/>
      <c r="T567" s="1022"/>
      <c r="U567" s="1022"/>
      <c r="V567" s="1022"/>
      <c r="W567" s="1022"/>
      <c r="X567" s="1023"/>
      <c r="Y567" s="1027"/>
      <c r="Z567" s="1023"/>
      <c r="AA567" s="1022"/>
      <c r="AB567" s="949"/>
      <c r="AC567" s="1022"/>
      <c r="AD567" s="1022"/>
      <c r="AE567" s="1022"/>
      <c r="AF567" s="1022"/>
      <c r="AG567" s="1024"/>
      <c r="AH567" s="1018"/>
      <c r="AI567" s="1022"/>
    </row>
    <row r="568" spans="1:35" ht="18" x14ac:dyDescent="0.25">
      <c r="A568" s="1025"/>
      <c r="B568" s="1026" t="s">
        <v>81</v>
      </c>
      <c r="C568" s="1019"/>
      <c r="D568" s="1019"/>
      <c r="E568" s="1019"/>
      <c r="F568" s="1019"/>
      <c r="G568" s="1019"/>
      <c r="H568" s="1019"/>
      <c r="I568" s="1019"/>
      <c r="J568" s="1019"/>
      <c r="K568" s="1019"/>
      <c r="L568" s="1019"/>
      <c r="M568" s="1019"/>
      <c r="N568" s="1019"/>
      <c r="O568" s="1019"/>
      <c r="P568" s="1020"/>
      <c r="Q568" s="1021"/>
      <c r="R568" s="1022"/>
      <c r="S568" s="1022"/>
      <c r="T568" s="1022"/>
      <c r="U568" s="1022"/>
      <c r="V568" s="1022"/>
      <c r="W568" s="1022"/>
      <c r="X568" s="1023"/>
      <c r="Y568" s="1023"/>
      <c r="Z568" s="1023"/>
      <c r="AA568" s="1022"/>
      <c r="AB568" s="949"/>
      <c r="AC568" s="1022"/>
      <c r="AD568" s="1022"/>
      <c r="AE568" s="1022"/>
      <c r="AF568" s="1022"/>
      <c r="AG568" s="1024"/>
      <c r="AH568" s="1018"/>
      <c r="AI568" s="1022"/>
    </row>
    <row r="569" spans="1:35" ht="18" x14ac:dyDescent="0.25">
      <c r="A569" s="1025" t="s">
        <v>82</v>
      </c>
      <c r="B569" s="1026" t="s">
        <v>2280</v>
      </c>
      <c r="C569" s="1019"/>
      <c r="D569" s="1019"/>
      <c r="E569" s="1019"/>
      <c r="F569" s="1019"/>
      <c r="G569" s="1019"/>
      <c r="H569" s="1019"/>
      <c r="I569" s="1019"/>
      <c r="J569" s="1019"/>
      <c r="K569" s="1019"/>
      <c r="L569" s="1019"/>
      <c r="M569" s="1019"/>
      <c r="N569" s="1019"/>
      <c r="O569" s="1019"/>
      <c r="P569" s="1020"/>
      <c r="Q569" s="1021"/>
      <c r="R569" s="1022"/>
      <c r="S569" s="1022"/>
      <c r="T569" s="1022"/>
      <c r="U569" s="1022"/>
      <c r="V569" s="1022"/>
      <c r="W569" s="1022"/>
      <c r="X569" s="1023"/>
      <c r="Y569" s="1023"/>
      <c r="Z569" s="1023"/>
      <c r="AA569" s="1022"/>
      <c r="AB569" s="949"/>
      <c r="AC569" s="1022"/>
      <c r="AD569" s="1022"/>
      <c r="AE569" s="1022"/>
      <c r="AF569" s="1022"/>
      <c r="AG569" s="1024"/>
      <c r="AH569" s="1018"/>
      <c r="AI569" s="1022"/>
    </row>
    <row r="570" spans="1:35" ht="18" x14ac:dyDescent="0.25">
      <c r="A570" s="1025"/>
      <c r="B570" s="1026" t="s">
        <v>83</v>
      </c>
      <c r="C570" s="1019"/>
      <c r="D570" s="1019"/>
      <c r="E570" s="1019"/>
      <c r="F570" s="1019"/>
      <c r="G570" s="1019"/>
      <c r="H570" s="1019"/>
      <c r="I570" s="1019"/>
      <c r="J570" s="1019"/>
      <c r="K570" s="1019"/>
      <c r="L570" s="1019"/>
      <c r="M570" s="1019"/>
      <c r="N570" s="1019"/>
      <c r="O570" s="1019"/>
      <c r="P570" s="1020"/>
      <c r="Q570" s="1021"/>
      <c r="R570" s="1022"/>
      <c r="S570" s="1022"/>
      <c r="T570" s="1022"/>
      <c r="U570" s="1022"/>
      <c r="V570" s="1022"/>
      <c r="W570" s="1022"/>
      <c r="X570" s="1023"/>
      <c r="Y570" s="1023"/>
      <c r="Z570" s="1023"/>
      <c r="AA570" s="1022"/>
      <c r="AB570" s="949"/>
      <c r="AC570" s="1022"/>
      <c r="AD570" s="1022"/>
      <c r="AE570" s="1022"/>
      <c r="AF570" s="1022"/>
      <c r="AG570" s="1024"/>
      <c r="AH570" s="1018"/>
      <c r="AI570" s="1022"/>
    </row>
    <row r="571" spans="1:35" ht="18" x14ac:dyDescent="0.25">
      <c r="A571" s="1025"/>
      <c r="B571" s="1026" t="s">
        <v>84</v>
      </c>
      <c r="C571" s="1019"/>
      <c r="D571" s="1019"/>
      <c r="E571" s="1019"/>
      <c r="F571" s="1019"/>
      <c r="G571" s="1019"/>
      <c r="H571" s="1019"/>
      <c r="I571" s="1019"/>
      <c r="J571" s="1019"/>
      <c r="K571" s="1019"/>
      <c r="L571" s="1019"/>
      <c r="M571" s="1019"/>
      <c r="N571" s="1019"/>
      <c r="O571" s="1019"/>
      <c r="P571" s="1020"/>
      <c r="Q571" s="1021"/>
      <c r="R571" s="1022"/>
      <c r="S571" s="1022"/>
      <c r="T571" s="1022"/>
      <c r="U571" s="1022"/>
      <c r="V571" s="1022"/>
      <c r="W571" s="1022"/>
      <c r="X571" s="1023"/>
      <c r="Y571" s="1023"/>
      <c r="Z571" s="1023"/>
      <c r="AA571" s="1022"/>
      <c r="AB571" s="949"/>
      <c r="AC571" s="1022"/>
      <c r="AD571" s="1022"/>
      <c r="AE571" s="1022"/>
      <c r="AF571" s="1022"/>
      <c r="AG571" s="1024"/>
      <c r="AH571" s="1018"/>
      <c r="AI571" s="1022"/>
    </row>
    <row r="572" spans="1:35" ht="18" x14ac:dyDescent="0.25">
      <c r="A572" s="1025"/>
      <c r="B572" s="1026" t="s">
        <v>85</v>
      </c>
      <c r="C572" s="1019"/>
      <c r="D572" s="1019"/>
      <c r="E572" s="1019"/>
      <c r="F572" s="1019"/>
      <c r="G572" s="1019"/>
      <c r="H572" s="1019"/>
      <c r="I572" s="1019"/>
      <c r="J572" s="1019"/>
      <c r="K572" s="1019"/>
      <c r="L572" s="1019"/>
      <c r="M572" s="1019"/>
      <c r="N572" s="1019"/>
      <c r="O572" s="1019"/>
      <c r="P572" s="1020"/>
      <c r="Q572" s="1021"/>
      <c r="R572" s="1022"/>
      <c r="S572" s="1022"/>
      <c r="T572" s="1022"/>
      <c r="U572" s="1022"/>
      <c r="V572" s="1022"/>
      <c r="W572" s="1022"/>
      <c r="X572" s="1023"/>
      <c r="Y572" s="1023"/>
      <c r="Z572" s="1023"/>
      <c r="AA572" s="1022"/>
      <c r="AB572" s="949"/>
      <c r="AC572" s="1022"/>
      <c r="AD572" s="1022"/>
      <c r="AE572" s="1022"/>
      <c r="AF572" s="1022"/>
      <c r="AG572" s="1024"/>
      <c r="AH572" s="1018"/>
      <c r="AI572" s="1022"/>
    </row>
    <row r="573" spans="1:35" ht="18" x14ac:dyDescent="0.25">
      <c r="A573" s="1025" t="s">
        <v>194</v>
      </c>
      <c r="B573" s="1026" t="s">
        <v>195</v>
      </c>
      <c r="C573" s="1019"/>
      <c r="D573" s="1019"/>
      <c r="E573" s="1019"/>
      <c r="F573" s="1019"/>
      <c r="G573" s="1019"/>
      <c r="H573" s="1019"/>
      <c r="I573" s="1019"/>
      <c r="J573" s="1019"/>
      <c r="K573" s="1019"/>
      <c r="L573" s="1019"/>
      <c r="M573" s="1019"/>
      <c r="N573" s="1019"/>
      <c r="O573" s="1019"/>
      <c r="P573" s="1020"/>
      <c r="Q573" s="1021"/>
      <c r="R573" s="1022"/>
      <c r="S573" s="1022"/>
      <c r="T573" s="1022"/>
      <c r="U573" s="1022"/>
      <c r="V573" s="1022"/>
      <c r="W573" s="1022"/>
      <c r="X573" s="1023"/>
      <c r="Y573" s="1023"/>
      <c r="Z573" s="1023"/>
      <c r="AA573" s="1022"/>
      <c r="AB573" s="949"/>
      <c r="AC573" s="1022"/>
      <c r="AD573" s="1022"/>
      <c r="AE573" s="1022"/>
      <c r="AF573" s="1022"/>
      <c r="AG573" s="1024"/>
      <c r="AH573" s="1018"/>
      <c r="AI573" s="1022"/>
    </row>
    <row r="574" spans="1:35" ht="18" x14ac:dyDescent="0.25">
      <c r="A574" s="1025" t="s">
        <v>196</v>
      </c>
      <c r="B574" s="1026" t="s">
        <v>164</v>
      </c>
      <c r="C574" s="1019"/>
      <c r="D574" s="1019"/>
      <c r="E574" s="1019"/>
      <c r="F574" s="1019"/>
      <c r="G574" s="1019"/>
      <c r="H574" s="1019"/>
      <c r="I574" s="1019"/>
      <c r="J574" s="1019"/>
      <c r="K574" s="1019"/>
      <c r="L574" s="1019"/>
      <c r="M574" s="1019"/>
      <c r="N574" s="1019"/>
      <c r="O574" s="1019"/>
      <c r="P574" s="1020"/>
      <c r="Q574" s="1021"/>
      <c r="R574" s="1022"/>
      <c r="S574" s="1022"/>
      <c r="T574" s="1022"/>
      <c r="U574" s="1022"/>
      <c r="V574" s="1022"/>
      <c r="W574" s="1022"/>
      <c r="X574" s="1023"/>
      <c r="Y574" s="1023"/>
      <c r="Z574" s="1023"/>
      <c r="AA574" s="1022"/>
      <c r="AB574" s="949"/>
      <c r="AC574" s="1022"/>
      <c r="AD574" s="1022"/>
      <c r="AE574" s="1022"/>
      <c r="AF574" s="1022"/>
      <c r="AG574" s="1024"/>
      <c r="AH574" s="1018"/>
      <c r="AI574" s="1022"/>
    </row>
    <row r="575" spans="1:35" ht="18" x14ac:dyDescent="0.25">
      <c r="A575" s="1025" t="s">
        <v>197</v>
      </c>
      <c r="B575" s="1026" t="s">
        <v>2281</v>
      </c>
      <c r="C575" s="1019"/>
      <c r="D575" s="1019"/>
      <c r="E575" s="1019"/>
      <c r="F575" s="1019"/>
      <c r="G575" s="1019"/>
      <c r="H575" s="1019"/>
      <c r="I575" s="1019"/>
      <c r="J575" s="1019"/>
      <c r="K575" s="1019"/>
      <c r="L575" s="1019"/>
      <c r="M575" s="1019"/>
      <c r="N575" s="1019"/>
      <c r="O575" s="1019"/>
      <c r="P575" s="1020"/>
      <c r="Q575" s="1021"/>
      <c r="R575" s="1022"/>
      <c r="S575" s="1022"/>
      <c r="T575" s="1022"/>
      <c r="U575" s="1022"/>
      <c r="V575" s="1022"/>
      <c r="W575" s="1022"/>
      <c r="X575" s="1023"/>
      <c r="Y575" s="1023"/>
      <c r="Z575" s="1023"/>
      <c r="AA575" s="1022"/>
      <c r="AB575" s="949"/>
      <c r="AC575" s="1022"/>
      <c r="AD575" s="1022"/>
      <c r="AE575" s="1022"/>
      <c r="AF575" s="1022"/>
      <c r="AG575" s="1024"/>
      <c r="AH575" s="1018"/>
      <c r="AI575" s="1022"/>
    </row>
    <row r="576" spans="1:35" ht="18" x14ac:dyDescent="0.25">
      <c r="A576" s="1025"/>
      <c r="B576" s="1026" t="s">
        <v>83</v>
      </c>
      <c r="C576" s="1019"/>
      <c r="D576" s="1019"/>
      <c r="E576" s="1019"/>
      <c r="F576" s="1019"/>
      <c r="G576" s="1019"/>
      <c r="H576" s="1019"/>
      <c r="I576" s="1019"/>
      <c r="J576" s="1019"/>
      <c r="K576" s="1019"/>
      <c r="L576" s="1019"/>
      <c r="M576" s="1019"/>
      <c r="N576" s="1019"/>
      <c r="O576" s="1019"/>
      <c r="P576" s="1020"/>
      <c r="Q576" s="1021"/>
      <c r="R576" s="1022"/>
      <c r="S576" s="1022"/>
      <c r="T576" s="1022"/>
      <c r="U576" s="1022"/>
      <c r="V576" s="1022"/>
      <c r="W576" s="1022"/>
      <c r="X576" s="1023"/>
      <c r="Y576" s="1023"/>
      <c r="Z576" s="1023"/>
      <c r="AA576" s="1022"/>
      <c r="AB576" s="949"/>
      <c r="AC576" s="1022"/>
      <c r="AD576" s="1022"/>
      <c r="AE576" s="1022"/>
      <c r="AF576" s="1022"/>
      <c r="AG576" s="1024"/>
      <c r="AH576" s="1018"/>
      <c r="AI576" s="1022"/>
    </row>
    <row r="577" spans="1:35" ht="18" x14ac:dyDescent="0.25">
      <c r="A577" s="1025"/>
      <c r="B577" s="1026" t="s">
        <v>84</v>
      </c>
      <c r="C577" s="1019"/>
      <c r="D577" s="1019"/>
      <c r="E577" s="1019"/>
      <c r="F577" s="1019"/>
      <c r="G577" s="1019"/>
      <c r="H577" s="1019"/>
      <c r="I577" s="1019"/>
      <c r="J577" s="1019"/>
      <c r="K577" s="1019"/>
      <c r="L577" s="1019"/>
      <c r="M577" s="1019"/>
      <c r="N577" s="1019"/>
      <c r="O577" s="1019"/>
      <c r="P577" s="1020"/>
      <c r="Q577" s="1021"/>
      <c r="R577" s="1022"/>
      <c r="S577" s="1022"/>
      <c r="T577" s="1022"/>
      <c r="U577" s="1022"/>
      <c r="V577" s="1022"/>
      <c r="W577" s="1022"/>
      <c r="X577" s="1023"/>
      <c r="Y577" s="1023"/>
      <c r="Z577" s="1023"/>
      <c r="AA577" s="1022"/>
      <c r="AB577" s="949"/>
      <c r="AC577" s="1022"/>
      <c r="AD577" s="1022"/>
      <c r="AE577" s="1022"/>
      <c r="AF577" s="1022"/>
      <c r="AG577" s="1024"/>
      <c r="AH577" s="1018"/>
      <c r="AI577" s="1022"/>
    </row>
    <row r="578" spans="1:35" ht="18" x14ac:dyDescent="0.25">
      <c r="A578" s="1025"/>
      <c r="B578" s="1026" t="s">
        <v>123</v>
      </c>
      <c r="C578" s="1019"/>
      <c r="D578" s="1019"/>
      <c r="E578" s="1019"/>
      <c r="F578" s="1019"/>
      <c r="G578" s="1019"/>
      <c r="H578" s="1019"/>
      <c r="I578" s="1019"/>
      <c r="J578" s="1019"/>
      <c r="K578" s="1019"/>
      <c r="L578" s="1019"/>
      <c r="M578" s="1019"/>
      <c r="N578" s="1019"/>
      <c r="O578" s="1019"/>
      <c r="P578" s="1020"/>
      <c r="Q578" s="1021"/>
      <c r="R578" s="1022"/>
      <c r="S578" s="1022"/>
      <c r="T578" s="1022"/>
      <c r="U578" s="1022"/>
      <c r="V578" s="1022"/>
      <c r="W578" s="1022"/>
      <c r="X578" s="1023"/>
      <c r="Y578" s="1023"/>
      <c r="Z578" s="1023"/>
      <c r="AA578" s="1022"/>
      <c r="AB578" s="949"/>
      <c r="AC578" s="1022"/>
      <c r="AD578" s="1022"/>
      <c r="AE578" s="1022"/>
      <c r="AF578" s="1022"/>
      <c r="AG578" s="1024"/>
      <c r="AH578" s="1018"/>
      <c r="AI578" s="1022"/>
    </row>
    <row r="579" spans="1:35" ht="18" x14ac:dyDescent="0.25">
      <c r="A579" s="1025" t="s">
        <v>206</v>
      </c>
      <c r="B579" s="1026" t="s">
        <v>207</v>
      </c>
      <c r="C579" s="1019"/>
      <c r="D579" s="1019"/>
      <c r="E579" s="1019"/>
      <c r="F579" s="1019"/>
      <c r="G579" s="1019"/>
      <c r="H579" s="1019"/>
      <c r="I579" s="1019"/>
      <c r="J579" s="1019"/>
      <c r="K579" s="1019"/>
      <c r="L579" s="1019"/>
      <c r="M579" s="1019"/>
      <c r="N579" s="1019"/>
      <c r="O579" s="1019"/>
      <c r="P579" s="1020"/>
      <c r="Q579" s="1021"/>
      <c r="R579" s="1022"/>
      <c r="S579" s="1022"/>
      <c r="T579" s="1022"/>
      <c r="U579" s="1022"/>
      <c r="V579" s="1022"/>
      <c r="W579" s="1022"/>
      <c r="X579" s="1023"/>
      <c r="Y579" s="1023"/>
      <c r="Z579" s="1023"/>
      <c r="AA579" s="1022"/>
      <c r="AB579" s="949"/>
      <c r="AC579" s="1022"/>
      <c r="AD579" s="1022"/>
      <c r="AE579" s="1022"/>
      <c r="AF579" s="1022"/>
      <c r="AG579" s="1024"/>
      <c r="AH579" s="1018"/>
      <c r="AI579" s="1022"/>
    </row>
    <row r="580" spans="1:35" ht="18" x14ac:dyDescent="0.25">
      <c r="A580" s="1025" t="s">
        <v>204</v>
      </c>
      <c r="B580" s="1026" t="s">
        <v>200</v>
      </c>
      <c r="C580" s="1019"/>
      <c r="D580" s="1019"/>
      <c r="E580" s="1019"/>
      <c r="F580" s="1019"/>
      <c r="G580" s="1019"/>
      <c r="H580" s="1019"/>
      <c r="I580" s="1019"/>
      <c r="J580" s="1019"/>
      <c r="K580" s="1019"/>
      <c r="L580" s="1019"/>
      <c r="M580" s="1019"/>
      <c r="N580" s="1019"/>
      <c r="O580" s="1019"/>
      <c r="P580" s="1020"/>
      <c r="Q580" s="1021"/>
      <c r="R580" s="1022"/>
      <c r="S580" s="1022"/>
      <c r="T580" s="1022"/>
      <c r="U580" s="1022"/>
      <c r="V580" s="1022"/>
      <c r="W580" s="1022"/>
      <c r="X580" s="1023"/>
      <c r="Y580" s="1023"/>
      <c r="Z580" s="1023"/>
      <c r="AA580" s="1022"/>
      <c r="AB580" s="949"/>
      <c r="AC580" s="1022"/>
      <c r="AD580" s="1022"/>
      <c r="AE580" s="1022"/>
      <c r="AF580" s="1022"/>
      <c r="AG580" s="1024"/>
      <c r="AH580" s="1018"/>
      <c r="AI580" s="1022"/>
    </row>
    <row r="581" spans="1:35" ht="18" x14ac:dyDescent="0.25">
      <c r="A581" s="1025" t="s">
        <v>205</v>
      </c>
      <c r="B581" s="1026" t="s">
        <v>208</v>
      </c>
      <c r="C581" s="1019"/>
      <c r="D581" s="1019"/>
      <c r="E581" s="1019"/>
      <c r="F581" s="1019"/>
      <c r="G581" s="1019"/>
      <c r="H581" s="1019"/>
      <c r="I581" s="1019"/>
      <c r="J581" s="1019"/>
      <c r="K581" s="1019"/>
      <c r="L581" s="1019"/>
      <c r="M581" s="1019"/>
      <c r="N581" s="1019"/>
      <c r="O581" s="1019"/>
      <c r="P581" s="1020"/>
      <c r="Q581" s="1021"/>
      <c r="R581" s="1022"/>
      <c r="S581" s="1022"/>
      <c r="T581" s="1022"/>
      <c r="U581" s="1022"/>
      <c r="V581" s="1022"/>
      <c r="W581" s="1022"/>
      <c r="X581" s="1023"/>
      <c r="Y581" s="1023"/>
      <c r="Z581" s="1023"/>
      <c r="AA581" s="1022"/>
      <c r="AB581" s="949"/>
      <c r="AC581" s="1022"/>
      <c r="AD581" s="1022"/>
      <c r="AE581" s="1022"/>
      <c r="AF581" s="1022"/>
      <c r="AG581" s="1024"/>
      <c r="AH581" s="1018"/>
      <c r="AI581" s="1022"/>
    </row>
    <row r="584" spans="1:35" x14ac:dyDescent="0.2">
      <c r="A584" s="148" t="s">
        <v>439</v>
      </c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</row>
    <row r="585" spans="1:35" x14ac:dyDescent="0.2">
      <c r="A585" s="149" t="s">
        <v>2282</v>
      </c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  <c r="AA585" s="149"/>
      <c r="AB585" s="149"/>
      <c r="AC585" s="149"/>
      <c r="AD585" s="149"/>
      <c r="AE585" s="151"/>
      <c r="AF585" s="151"/>
      <c r="AG585" s="151"/>
      <c r="AH585" s="151"/>
      <c r="AI585" s="151"/>
    </row>
    <row r="586" spans="1:35" ht="12.75" thickBot="1" x14ac:dyDescent="0.25">
      <c r="A586" s="148" t="s">
        <v>2831</v>
      </c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</row>
    <row r="587" spans="1:35" ht="12.75" thickBot="1" x14ac:dyDescent="0.25">
      <c r="A587" s="1467" t="s">
        <v>50</v>
      </c>
      <c r="B587" s="1489" t="s">
        <v>351</v>
      </c>
      <c r="C587" s="1489"/>
      <c r="D587" s="1489"/>
      <c r="E587" s="1489"/>
      <c r="F587" s="1489"/>
      <c r="G587" s="1489"/>
      <c r="H587" s="1489"/>
      <c r="I587" s="1489"/>
      <c r="J587" s="1489"/>
      <c r="K587" s="1489"/>
      <c r="L587" s="1489"/>
      <c r="M587" s="1489"/>
      <c r="N587" s="1489"/>
      <c r="O587" s="1489"/>
      <c r="P587" s="1489"/>
      <c r="Q587" s="1490" t="s">
        <v>440</v>
      </c>
      <c r="R587" s="1489"/>
      <c r="S587" s="1489"/>
      <c r="T587" s="1489"/>
      <c r="U587" s="1489"/>
      <c r="V587" s="1489"/>
      <c r="W587" s="1489"/>
      <c r="X587" s="1489"/>
      <c r="Y587" s="1489"/>
      <c r="Z587" s="1489"/>
      <c r="AA587" s="1489"/>
      <c r="AB587" s="1489"/>
      <c r="AC587" s="1489"/>
      <c r="AD587" s="1489"/>
      <c r="AE587" s="1491"/>
      <c r="AF587" s="1485" t="s">
        <v>442</v>
      </c>
      <c r="AG587" s="1486"/>
      <c r="AH587" s="1485" t="s">
        <v>441</v>
      </c>
      <c r="AI587" s="1486"/>
    </row>
    <row r="588" spans="1:35" ht="140.25" x14ac:dyDescent="0.2">
      <c r="A588" s="1487"/>
      <c r="B588" s="245" t="s">
        <v>11</v>
      </c>
      <c r="C588" s="246" t="s">
        <v>153</v>
      </c>
      <c r="D588" s="247" t="s">
        <v>279</v>
      </c>
      <c r="E588" s="247" t="s">
        <v>155</v>
      </c>
      <c r="F588" s="247" t="s">
        <v>190</v>
      </c>
      <c r="G588" s="247" t="s">
        <v>191</v>
      </c>
      <c r="H588" s="247" t="s">
        <v>192</v>
      </c>
      <c r="I588" s="247" t="s">
        <v>193</v>
      </c>
      <c r="J588" s="247" t="s">
        <v>156</v>
      </c>
      <c r="K588" s="247" t="s">
        <v>157</v>
      </c>
      <c r="L588" s="247" t="s">
        <v>158</v>
      </c>
      <c r="M588" s="247" t="s">
        <v>189</v>
      </c>
      <c r="N588" s="248" t="s">
        <v>125</v>
      </c>
      <c r="O588" s="249" t="s">
        <v>163</v>
      </c>
      <c r="P588" s="250" t="s">
        <v>162</v>
      </c>
      <c r="Q588" s="245" t="s">
        <v>11</v>
      </c>
      <c r="R588" s="246" t="s">
        <v>153</v>
      </c>
      <c r="S588" s="247" t="s">
        <v>154</v>
      </c>
      <c r="T588" s="247" t="s">
        <v>155</v>
      </c>
      <c r="U588" s="247" t="s">
        <v>190</v>
      </c>
      <c r="V588" s="247" t="s">
        <v>191</v>
      </c>
      <c r="W588" s="247" t="s">
        <v>192</v>
      </c>
      <c r="X588" s="247" t="s">
        <v>193</v>
      </c>
      <c r="Y588" s="247" t="s">
        <v>156</v>
      </c>
      <c r="Z588" s="247" t="s">
        <v>157</v>
      </c>
      <c r="AA588" s="247" t="s">
        <v>158</v>
      </c>
      <c r="AB588" s="247" t="s">
        <v>189</v>
      </c>
      <c r="AC588" s="248" t="s">
        <v>125</v>
      </c>
      <c r="AD588" s="249" t="s">
        <v>163</v>
      </c>
      <c r="AE588" s="250" t="s">
        <v>2852</v>
      </c>
      <c r="AF588" s="251" t="s">
        <v>167</v>
      </c>
      <c r="AG588" s="251" t="s">
        <v>166</v>
      </c>
      <c r="AH588" s="251" t="s">
        <v>11</v>
      </c>
      <c r="AI588" s="250" t="s">
        <v>353</v>
      </c>
    </row>
    <row r="589" spans="1:35" ht="12.75" thickBot="1" x14ac:dyDescent="0.25">
      <c r="A589" s="1488"/>
      <c r="B589" s="252" t="s">
        <v>51</v>
      </c>
      <c r="C589" s="253" t="s">
        <v>52</v>
      </c>
      <c r="D589" s="254" t="s">
        <v>53</v>
      </c>
      <c r="E589" s="254" t="s">
        <v>54</v>
      </c>
      <c r="F589" s="255" t="s">
        <v>55</v>
      </c>
      <c r="G589" s="255" t="s">
        <v>56</v>
      </c>
      <c r="H589" s="255" t="s">
        <v>86</v>
      </c>
      <c r="I589" s="255" t="s">
        <v>124</v>
      </c>
      <c r="J589" s="255" t="s">
        <v>161</v>
      </c>
      <c r="K589" s="255" t="s">
        <v>165</v>
      </c>
      <c r="L589" s="255" t="s">
        <v>198</v>
      </c>
      <c r="M589" s="255" t="s">
        <v>199</v>
      </c>
      <c r="N589" s="256" t="s">
        <v>201</v>
      </c>
      <c r="O589" s="257" t="s">
        <v>202</v>
      </c>
      <c r="P589" s="258" t="s">
        <v>203</v>
      </c>
      <c r="Q589" s="252" t="s">
        <v>51</v>
      </c>
      <c r="R589" s="253" t="s">
        <v>52</v>
      </c>
      <c r="S589" s="254" t="s">
        <v>53</v>
      </c>
      <c r="T589" s="254" t="s">
        <v>54</v>
      </c>
      <c r="U589" s="255" t="s">
        <v>55</v>
      </c>
      <c r="V589" s="255" t="s">
        <v>56</v>
      </c>
      <c r="W589" s="255" t="s">
        <v>86</v>
      </c>
      <c r="X589" s="255" t="s">
        <v>124</v>
      </c>
      <c r="Y589" s="255" t="s">
        <v>161</v>
      </c>
      <c r="Z589" s="255" t="s">
        <v>165</v>
      </c>
      <c r="AA589" s="255" t="s">
        <v>198</v>
      </c>
      <c r="AB589" s="255" t="s">
        <v>199</v>
      </c>
      <c r="AC589" s="256" t="s">
        <v>201</v>
      </c>
      <c r="AD589" s="257" t="s">
        <v>202</v>
      </c>
      <c r="AE589" s="258" t="s">
        <v>203</v>
      </c>
      <c r="AF589" s="259"/>
      <c r="AG589" s="252"/>
      <c r="AH589" s="259"/>
      <c r="AI589" s="252"/>
    </row>
    <row r="590" spans="1:35" x14ac:dyDescent="0.2">
      <c r="A590" s="1158"/>
      <c r="B590" s="1159"/>
      <c r="C590" s="1160"/>
      <c r="D590" s="1160"/>
      <c r="E590" s="1160"/>
      <c r="F590" s="1160"/>
      <c r="G590" s="1160"/>
      <c r="H590" s="1160"/>
      <c r="I590" s="1160"/>
      <c r="J590" s="1160"/>
      <c r="K590" s="1160"/>
      <c r="L590" s="1160"/>
      <c r="M590" s="1160"/>
      <c r="N590" s="1160"/>
      <c r="O590" s="1160"/>
      <c r="P590" s="1160"/>
      <c r="Q590" s="1159"/>
      <c r="R590" s="1160"/>
      <c r="S590" s="1160"/>
      <c r="T590" s="1160"/>
      <c r="U590" s="1160"/>
      <c r="V590" s="1160"/>
      <c r="W590" s="1160"/>
      <c r="X590" s="1160"/>
      <c r="Y590" s="1160"/>
      <c r="Z590" s="1160"/>
      <c r="AA590" s="1160"/>
      <c r="AB590" s="1160"/>
      <c r="AC590" s="1160"/>
      <c r="AD590" s="1160"/>
      <c r="AE590" s="1160"/>
      <c r="AF590" s="1136"/>
      <c r="AG590" s="1161"/>
      <c r="AH590" s="1159"/>
      <c r="AI590" s="1160"/>
    </row>
    <row r="591" spans="1:35" x14ac:dyDescent="0.2">
      <c r="A591" s="1130" t="s">
        <v>7</v>
      </c>
      <c r="B591" s="1132">
        <f t="shared" ref="B591:AI591" si="193">SUM(B592:B599)</f>
        <v>18</v>
      </c>
      <c r="C591" s="1162">
        <f t="shared" si="193"/>
        <v>27934.440345999996</v>
      </c>
      <c r="D591" s="1162">
        <f t="shared" si="193"/>
        <v>68932.059999999983</v>
      </c>
      <c r="E591" s="1162">
        <f t="shared" si="193"/>
        <v>0</v>
      </c>
      <c r="F591" s="1162">
        <f t="shared" si="193"/>
        <v>0</v>
      </c>
      <c r="G591" s="1162">
        <f t="shared" si="193"/>
        <v>0</v>
      </c>
      <c r="H591" s="1162">
        <f t="shared" si="193"/>
        <v>0</v>
      </c>
      <c r="I591" s="1162">
        <f t="shared" si="193"/>
        <v>0</v>
      </c>
      <c r="J591" s="1162">
        <f t="shared" si="193"/>
        <v>0</v>
      </c>
      <c r="K591" s="1162">
        <f t="shared" si="193"/>
        <v>96866.500345999986</v>
      </c>
      <c r="L591" s="1162">
        <f t="shared" si="193"/>
        <v>18000</v>
      </c>
      <c r="M591" s="1162">
        <f t="shared" si="193"/>
        <v>0</v>
      </c>
      <c r="N591" s="1162">
        <f t="shared" si="193"/>
        <v>18000</v>
      </c>
      <c r="O591" s="1162">
        <f t="shared" si="193"/>
        <v>0</v>
      </c>
      <c r="P591" s="1162">
        <f t="shared" si="193"/>
        <v>1180398.0041519997</v>
      </c>
      <c r="Q591" s="1132">
        <f t="shared" si="193"/>
        <v>18</v>
      </c>
      <c r="R591" s="1162">
        <f>SUM(R592:R599)</f>
        <v>24745.129999999997</v>
      </c>
      <c r="S591" s="1162">
        <f t="shared" si="193"/>
        <v>68932.059999999983</v>
      </c>
      <c r="T591" s="1162">
        <f t="shared" si="193"/>
        <v>0</v>
      </c>
      <c r="U591" s="1162">
        <f t="shared" si="193"/>
        <v>0</v>
      </c>
      <c r="V591" s="1162">
        <f t="shared" si="193"/>
        <v>0</v>
      </c>
      <c r="W591" s="1162">
        <f t="shared" si="193"/>
        <v>0</v>
      </c>
      <c r="X591" s="1162">
        <f t="shared" si="193"/>
        <v>0</v>
      </c>
      <c r="Y591" s="1162">
        <f t="shared" si="193"/>
        <v>0</v>
      </c>
      <c r="Z591" s="1162">
        <f t="shared" si="193"/>
        <v>93677.189999999988</v>
      </c>
      <c r="AA591" s="1162">
        <f t="shared" si="193"/>
        <v>18000</v>
      </c>
      <c r="AB591" s="1162">
        <f t="shared" si="193"/>
        <v>0</v>
      </c>
      <c r="AC591" s="1162">
        <f t="shared" si="193"/>
        <v>18000</v>
      </c>
      <c r="AD591" s="1162">
        <f t="shared" si="193"/>
        <v>0</v>
      </c>
      <c r="AE591" s="1162">
        <f t="shared" si="193"/>
        <v>1142126.2799999998</v>
      </c>
      <c r="AF591" s="1132">
        <f t="shared" si="193"/>
        <v>0</v>
      </c>
      <c r="AG591" s="1163">
        <f t="shared" si="193"/>
        <v>-38271.72415199985</v>
      </c>
      <c r="AH591" s="1132">
        <f t="shared" si="193"/>
        <v>18</v>
      </c>
      <c r="AI591" s="1162">
        <f t="shared" si="193"/>
        <v>1180398.0041519997</v>
      </c>
    </row>
    <row r="592" spans="1:35" x14ac:dyDescent="0.2">
      <c r="A592" s="1138" t="s">
        <v>13</v>
      </c>
      <c r="B592" s="1136">
        <v>1</v>
      </c>
      <c r="C592" s="1160">
        <v>1271.2489400000002</v>
      </c>
      <c r="D592" s="1160">
        <v>1230.67</v>
      </c>
      <c r="E592" s="1160"/>
      <c r="F592" s="1160"/>
      <c r="G592" s="1160"/>
      <c r="H592" s="1160"/>
      <c r="I592" s="1160"/>
      <c r="J592" s="1160"/>
      <c r="K592" s="1160">
        <f>SUM(C592:J592)</f>
        <v>2501.9189400000005</v>
      </c>
      <c r="L592" s="1160">
        <v>1000</v>
      </c>
      <c r="M592" s="1160"/>
      <c r="N592" s="1160">
        <f>SUM(L592:M592)</f>
        <v>1000</v>
      </c>
      <c r="O592" s="1160"/>
      <c r="P592" s="1160">
        <f>(K592*12)+N592</f>
        <v>31023.027280000006</v>
      </c>
      <c r="Q592" s="1136">
        <v>1</v>
      </c>
      <c r="R592" s="1160">
        <v>1305.68</v>
      </c>
      <c r="S592" s="1160">
        <v>1230.67</v>
      </c>
      <c r="T592" s="1160"/>
      <c r="U592" s="1160"/>
      <c r="V592" s="1160"/>
      <c r="W592" s="1160"/>
      <c r="X592" s="1160"/>
      <c r="Y592" s="1160"/>
      <c r="Z592" s="1160">
        <f>SUM(R592:Y592)</f>
        <v>2536.3500000000004</v>
      </c>
      <c r="AA592" s="1160">
        <v>1000</v>
      </c>
      <c r="AB592" s="1160"/>
      <c r="AC592" s="1160">
        <f>SUM(AA592:AB592)</f>
        <v>1000</v>
      </c>
      <c r="AD592" s="1160"/>
      <c r="AE592" s="1160">
        <f>(Z592*12)+AC592</f>
        <v>31436.200000000004</v>
      </c>
      <c r="AF592" s="1136"/>
      <c r="AG592" s="1161">
        <f>+AE592-P592</f>
        <v>413.17271999999866</v>
      </c>
      <c r="AH592" s="1136">
        <v>1</v>
      </c>
      <c r="AI592" s="1160">
        <v>31023.027280000006</v>
      </c>
    </row>
    <row r="593" spans="1:35" x14ac:dyDescent="0.2">
      <c r="A593" s="1138" t="s">
        <v>1402</v>
      </c>
      <c r="B593" s="1136"/>
      <c r="C593" s="1160"/>
      <c r="D593" s="1160"/>
      <c r="E593" s="1160"/>
      <c r="F593" s="1160"/>
      <c r="G593" s="1160"/>
      <c r="H593" s="1160"/>
      <c r="I593" s="1160"/>
      <c r="J593" s="1160"/>
      <c r="K593" s="1160">
        <f t="shared" ref="K593:K594" si="194">SUM(C593:J593)</f>
        <v>0</v>
      </c>
      <c r="L593" s="1160"/>
      <c r="M593" s="1160"/>
      <c r="N593" s="1160">
        <f t="shared" ref="N593" si="195">SUM(L593:M593)</f>
        <v>0</v>
      </c>
      <c r="O593" s="1160"/>
      <c r="P593" s="1160">
        <f t="shared" ref="P593" si="196">(K593*12)+N593</f>
        <v>0</v>
      </c>
      <c r="Q593" s="1136"/>
      <c r="R593" s="1160"/>
      <c r="S593" s="1160"/>
      <c r="T593" s="1160"/>
      <c r="U593" s="1160"/>
      <c r="V593" s="1160"/>
      <c r="W593" s="1160"/>
      <c r="X593" s="1160"/>
      <c r="Y593" s="1160"/>
      <c r="Z593" s="1160">
        <f t="shared" ref="Z593:Z594" si="197">SUM(R593:Y593)</f>
        <v>0</v>
      </c>
      <c r="AA593" s="1160"/>
      <c r="AB593" s="1160"/>
      <c r="AC593" s="1160">
        <f t="shared" ref="AC593" si="198">SUM(AA593:AB593)</f>
        <v>0</v>
      </c>
      <c r="AD593" s="1160"/>
      <c r="AE593" s="1160">
        <f t="shared" ref="AE593" si="199">(Z593*12)+AC593</f>
        <v>0</v>
      </c>
      <c r="AF593" s="1136"/>
      <c r="AG593" s="1161">
        <f t="shared" ref="AG593:AG630" si="200">+AE593-P593</f>
        <v>0</v>
      </c>
      <c r="AH593" s="1136"/>
      <c r="AI593" s="1160">
        <v>0</v>
      </c>
    </row>
    <row r="594" spans="1:35" x14ac:dyDescent="0.2">
      <c r="A594" s="1138" t="s">
        <v>1401</v>
      </c>
      <c r="B594" s="1136">
        <v>12</v>
      </c>
      <c r="C594" s="1160">
        <v>18502.600631999998</v>
      </c>
      <c r="D594" s="1160">
        <v>42848.039999999986</v>
      </c>
      <c r="E594" s="1160"/>
      <c r="F594" s="1160"/>
      <c r="G594" s="1160"/>
      <c r="H594" s="1160"/>
      <c r="I594" s="1160"/>
      <c r="J594" s="1160"/>
      <c r="K594" s="1160">
        <f t="shared" si="194"/>
        <v>61350.640631999981</v>
      </c>
      <c r="L594" s="1160">
        <v>12000</v>
      </c>
      <c r="M594" s="1160"/>
      <c r="N594" s="1160">
        <f>SUM(L594:M594)</f>
        <v>12000</v>
      </c>
      <c r="O594" s="1160"/>
      <c r="P594" s="1160">
        <f>(K594*12)+N594</f>
        <v>748207.68758399971</v>
      </c>
      <c r="Q594" s="1136">
        <v>12</v>
      </c>
      <c r="R594" s="1160">
        <v>16247.43</v>
      </c>
      <c r="S594" s="1160">
        <v>42848.039999999986</v>
      </c>
      <c r="T594" s="1160"/>
      <c r="U594" s="1160"/>
      <c r="V594" s="1160"/>
      <c r="W594" s="1160"/>
      <c r="X594" s="1160"/>
      <c r="Y594" s="1160"/>
      <c r="Z594" s="1160">
        <f t="shared" si="197"/>
        <v>59095.469999999987</v>
      </c>
      <c r="AA594" s="1160">
        <v>12000</v>
      </c>
      <c r="AB594" s="1160"/>
      <c r="AC594" s="1160">
        <f>SUM(AA594:AB594)</f>
        <v>12000</v>
      </c>
      <c r="AD594" s="1160"/>
      <c r="AE594" s="1160">
        <f>(Z594*12)+AC594</f>
        <v>721145.6399999999</v>
      </c>
      <c r="AF594" s="1136"/>
      <c r="AG594" s="1161">
        <f t="shared" si="200"/>
        <v>-27062.047583999811</v>
      </c>
      <c r="AH594" s="1136">
        <v>12</v>
      </c>
      <c r="AI594" s="1160">
        <v>748207.68758399971</v>
      </c>
    </row>
    <row r="595" spans="1:35" x14ac:dyDescent="0.2">
      <c r="A595" s="1138" t="s">
        <v>1400</v>
      </c>
      <c r="B595" s="1136">
        <v>4</v>
      </c>
      <c r="C595" s="1160">
        <v>6489.8476239999991</v>
      </c>
      <c r="D595" s="1160">
        <v>18282.68</v>
      </c>
      <c r="E595" s="1160"/>
      <c r="F595" s="1160"/>
      <c r="G595" s="1160"/>
      <c r="H595" s="1160"/>
      <c r="I595" s="1160"/>
      <c r="J595" s="1160"/>
      <c r="K595" s="1160">
        <f>SUM(C595:J595)</f>
        <v>24772.527623999998</v>
      </c>
      <c r="L595" s="1160">
        <v>4000</v>
      </c>
      <c r="M595" s="1160"/>
      <c r="N595" s="1160">
        <f>SUM(L595:M595)</f>
        <v>4000</v>
      </c>
      <c r="O595" s="1160"/>
      <c r="P595" s="1160">
        <f>(K595*12)+N595</f>
        <v>301270.331488</v>
      </c>
      <c r="Q595" s="1136">
        <v>4</v>
      </c>
      <c r="R595" s="1160">
        <v>5667.17</v>
      </c>
      <c r="S595" s="1160">
        <v>18282.68</v>
      </c>
      <c r="T595" s="1160"/>
      <c r="U595" s="1160"/>
      <c r="V595" s="1160"/>
      <c r="W595" s="1160"/>
      <c r="X595" s="1160"/>
      <c r="Y595" s="1160"/>
      <c r="Z595" s="1160">
        <f>SUM(R595:Y595)</f>
        <v>23949.85</v>
      </c>
      <c r="AA595" s="1160">
        <v>4000</v>
      </c>
      <c r="AB595" s="1160"/>
      <c r="AC595" s="1160">
        <f>SUM(AA595:AB595)</f>
        <v>4000</v>
      </c>
      <c r="AD595" s="1160"/>
      <c r="AE595" s="1160">
        <f>(Z595*12)+AC595</f>
        <v>291398.19999999995</v>
      </c>
      <c r="AF595" s="1136"/>
      <c r="AG595" s="1161">
        <f t="shared" si="200"/>
        <v>-9872.1314880000427</v>
      </c>
      <c r="AH595" s="1136">
        <v>4</v>
      </c>
      <c r="AI595" s="1160">
        <v>301270.331488</v>
      </c>
    </row>
    <row r="596" spans="1:35" x14ac:dyDescent="0.2">
      <c r="A596" s="1138" t="s">
        <v>1399</v>
      </c>
      <c r="B596" s="1136">
        <v>1</v>
      </c>
      <c r="C596" s="1160">
        <v>1670.7431499999996</v>
      </c>
      <c r="D596" s="1160">
        <v>6570.67</v>
      </c>
      <c r="E596" s="1160"/>
      <c r="F596" s="1160"/>
      <c r="G596" s="1160"/>
      <c r="H596" s="1160"/>
      <c r="I596" s="1160"/>
      <c r="J596" s="1160"/>
      <c r="K596" s="1160">
        <f t="shared" ref="K596:K599" si="201">SUM(C596:J596)</f>
        <v>8241.4131500000003</v>
      </c>
      <c r="L596" s="1160">
        <v>1000</v>
      </c>
      <c r="M596" s="1160"/>
      <c r="N596" s="1160">
        <f t="shared" ref="N596:N599" si="202">SUM(L596:M596)</f>
        <v>1000</v>
      </c>
      <c r="O596" s="1160"/>
      <c r="P596" s="1160">
        <f t="shared" ref="P596:P599" si="203">(K596*12)+N596</f>
        <v>99896.957800000004</v>
      </c>
      <c r="Q596" s="1136">
        <v>1</v>
      </c>
      <c r="R596" s="1160">
        <v>1524.85</v>
      </c>
      <c r="S596" s="1160">
        <v>6570.67</v>
      </c>
      <c r="T596" s="1160"/>
      <c r="U596" s="1160"/>
      <c r="V596" s="1160"/>
      <c r="W596" s="1160"/>
      <c r="X596" s="1160"/>
      <c r="Y596" s="1160"/>
      <c r="Z596" s="1160">
        <f t="shared" ref="Z596:Z599" si="204">SUM(R596:Y596)</f>
        <v>8095.52</v>
      </c>
      <c r="AA596" s="1160">
        <v>1000</v>
      </c>
      <c r="AB596" s="1160"/>
      <c r="AC596" s="1160">
        <f t="shared" ref="AC596:AC599" si="205">SUM(AA596:AB596)</f>
        <v>1000</v>
      </c>
      <c r="AD596" s="1160"/>
      <c r="AE596" s="1160">
        <f t="shared" ref="AE596:AE599" si="206">(Z596*12)+AC596</f>
        <v>98146.240000000005</v>
      </c>
      <c r="AF596" s="1136"/>
      <c r="AG596" s="1161">
        <f>+AE596-P596</f>
        <v>-1750.7177999999985</v>
      </c>
      <c r="AH596" s="1136">
        <v>1</v>
      </c>
      <c r="AI596" s="1160">
        <v>99896.957800000004</v>
      </c>
    </row>
    <row r="597" spans="1:35" x14ac:dyDescent="0.2">
      <c r="A597" s="1138" t="s">
        <v>1398</v>
      </c>
      <c r="B597" s="1136"/>
      <c r="C597" s="1160"/>
      <c r="D597" s="1160"/>
      <c r="E597" s="1160"/>
      <c r="F597" s="1160"/>
      <c r="G597" s="1160"/>
      <c r="H597" s="1160"/>
      <c r="I597" s="1160"/>
      <c r="J597" s="1160"/>
      <c r="K597" s="1160">
        <f t="shared" si="201"/>
        <v>0</v>
      </c>
      <c r="L597" s="1160"/>
      <c r="M597" s="1160"/>
      <c r="N597" s="1160">
        <f t="shared" si="202"/>
        <v>0</v>
      </c>
      <c r="O597" s="1160"/>
      <c r="P597" s="1160">
        <f t="shared" si="203"/>
        <v>0</v>
      </c>
      <c r="Q597" s="1136"/>
      <c r="R597" s="1160"/>
      <c r="S597" s="1160"/>
      <c r="T597" s="1160"/>
      <c r="U597" s="1160"/>
      <c r="V597" s="1160"/>
      <c r="W597" s="1160"/>
      <c r="X597" s="1160"/>
      <c r="Y597" s="1160"/>
      <c r="Z597" s="1160">
        <f t="shared" si="204"/>
        <v>0</v>
      </c>
      <c r="AA597" s="1160"/>
      <c r="AB597" s="1160"/>
      <c r="AC597" s="1160">
        <f t="shared" si="205"/>
        <v>0</v>
      </c>
      <c r="AD597" s="1160"/>
      <c r="AE597" s="1160">
        <f t="shared" si="206"/>
        <v>0</v>
      </c>
      <c r="AF597" s="1136"/>
      <c r="AG597" s="1161">
        <f t="shared" si="200"/>
        <v>0</v>
      </c>
      <c r="AH597" s="1136"/>
      <c r="AI597" s="1160">
        <v>0</v>
      </c>
    </row>
    <row r="598" spans="1:35" x14ac:dyDescent="0.2">
      <c r="A598" s="1138" t="s">
        <v>1397</v>
      </c>
      <c r="B598" s="1136"/>
      <c r="C598" s="1160"/>
      <c r="D598" s="1160"/>
      <c r="E598" s="1160"/>
      <c r="F598" s="1160"/>
      <c r="G598" s="1160"/>
      <c r="H598" s="1160"/>
      <c r="I598" s="1160"/>
      <c r="J598" s="1160"/>
      <c r="K598" s="1160">
        <f t="shared" si="201"/>
        <v>0</v>
      </c>
      <c r="L598" s="1160"/>
      <c r="M598" s="1160"/>
      <c r="N598" s="1160">
        <f t="shared" si="202"/>
        <v>0</v>
      </c>
      <c r="O598" s="1160"/>
      <c r="P598" s="1160">
        <f t="shared" si="203"/>
        <v>0</v>
      </c>
      <c r="Q598" s="1136"/>
      <c r="R598" s="1160"/>
      <c r="S598" s="1160"/>
      <c r="T598" s="1160"/>
      <c r="U598" s="1160"/>
      <c r="V598" s="1160"/>
      <c r="W598" s="1160"/>
      <c r="X598" s="1160"/>
      <c r="Y598" s="1160"/>
      <c r="Z598" s="1160">
        <f t="shared" si="204"/>
        <v>0</v>
      </c>
      <c r="AA598" s="1160"/>
      <c r="AB598" s="1160"/>
      <c r="AC598" s="1160">
        <f t="shared" si="205"/>
        <v>0</v>
      </c>
      <c r="AD598" s="1160"/>
      <c r="AE598" s="1160">
        <f t="shared" si="206"/>
        <v>0</v>
      </c>
      <c r="AF598" s="1136"/>
      <c r="AG598" s="1161">
        <f t="shared" si="200"/>
        <v>0</v>
      </c>
      <c r="AH598" s="1136"/>
      <c r="AI598" s="1160">
        <v>0</v>
      </c>
    </row>
    <row r="599" spans="1:35" x14ac:dyDescent="0.2">
      <c r="A599" s="1138" t="s">
        <v>3</v>
      </c>
      <c r="B599" s="1136"/>
      <c r="C599" s="1160"/>
      <c r="D599" s="1160"/>
      <c r="E599" s="1160"/>
      <c r="F599" s="1160"/>
      <c r="G599" s="1160"/>
      <c r="H599" s="1160"/>
      <c r="I599" s="1160"/>
      <c r="J599" s="1160"/>
      <c r="K599" s="1160">
        <f t="shared" si="201"/>
        <v>0</v>
      </c>
      <c r="L599" s="1160"/>
      <c r="M599" s="1160"/>
      <c r="N599" s="1160">
        <f t="shared" si="202"/>
        <v>0</v>
      </c>
      <c r="O599" s="1160"/>
      <c r="P599" s="1160">
        <f t="shared" si="203"/>
        <v>0</v>
      </c>
      <c r="Q599" s="1136"/>
      <c r="R599" s="1160"/>
      <c r="S599" s="1160"/>
      <c r="T599" s="1160"/>
      <c r="U599" s="1160"/>
      <c r="V599" s="1160"/>
      <c r="W599" s="1160"/>
      <c r="X599" s="1160"/>
      <c r="Y599" s="1160"/>
      <c r="Z599" s="1160">
        <f t="shared" si="204"/>
        <v>0</v>
      </c>
      <c r="AA599" s="1160"/>
      <c r="AB599" s="1160"/>
      <c r="AC599" s="1160">
        <f t="shared" si="205"/>
        <v>0</v>
      </c>
      <c r="AD599" s="1160"/>
      <c r="AE599" s="1160">
        <f t="shared" si="206"/>
        <v>0</v>
      </c>
      <c r="AF599" s="1136"/>
      <c r="AG599" s="1161">
        <f t="shared" si="200"/>
        <v>0</v>
      </c>
      <c r="AH599" s="1136"/>
      <c r="AI599" s="1160">
        <v>0</v>
      </c>
    </row>
    <row r="600" spans="1:35" x14ac:dyDescent="0.2">
      <c r="A600" s="1164" t="s">
        <v>4</v>
      </c>
      <c r="B600" s="1165">
        <f>SUM(B601:B606)</f>
        <v>24</v>
      </c>
      <c r="C600" s="1166">
        <f t="shared" ref="C600:P600" si="207">SUM(C601:C606)</f>
        <v>49599.839569999996</v>
      </c>
      <c r="D600" s="1166">
        <f t="shared" si="207"/>
        <v>25523.27</v>
      </c>
      <c r="E600" s="1166">
        <f t="shared" si="207"/>
        <v>0</v>
      </c>
      <c r="F600" s="1166">
        <f t="shared" si="207"/>
        <v>0</v>
      </c>
      <c r="G600" s="1166">
        <f t="shared" si="207"/>
        <v>0</v>
      </c>
      <c r="H600" s="1166">
        <f t="shared" si="207"/>
        <v>0</v>
      </c>
      <c r="I600" s="1166">
        <f t="shared" si="207"/>
        <v>0</v>
      </c>
      <c r="J600" s="1166">
        <f t="shared" si="207"/>
        <v>264.18</v>
      </c>
      <c r="K600" s="1166">
        <f t="shared" si="207"/>
        <v>75387.289569999994</v>
      </c>
      <c r="L600" s="1166">
        <f t="shared" si="207"/>
        <v>24000</v>
      </c>
      <c r="M600" s="1166">
        <f t="shared" si="207"/>
        <v>0</v>
      </c>
      <c r="N600" s="1166">
        <f t="shared" si="207"/>
        <v>24000</v>
      </c>
      <c r="O600" s="1166">
        <f t="shared" si="207"/>
        <v>0</v>
      </c>
      <c r="P600" s="1166">
        <f t="shared" si="207"/>
        <v>928647.47483999992</v>
      </c>
      <c r="Q600" s="1165">
        <f>SUM(Q601:Q606)</f>
        <v>24</v>
      </c>
      <c r="R600" s="1166">
        <f>SUM(R601:R606)</f>
        <v>29681.239999999998</v>
      </c>
      <c r="S600" s="1166">
        <f t="shared" ref="S600:AG600" si="208">SUM(S601:S606)</f>
        <v>25523.27</v>
      </c>
      <c r="T600" s="1166">
        <f t="shared" si="208"/>
        <v>0</v>
      </c>
      <c r="U600" s="1166">
        <f t="shared" si="208"/>
        <v>0</v>
      </c>
      <c r="V600" s="1166">
        <f t="shared" si="208"/>
        <v>0</v>
      </c>
      <c r="W600" s="1166">
        <f t="shared" si="208"/>
        <v>0</v>
      </c>
      <c r="X600" s="1166">
        <f t="shared" si="208"/>
        <v>0</v>
      </c>
      <c r="Y600" s="1166">
        <f t="shared" si="208"/>
        <v>264.18</v>
      </c>
      <c r="Z600" s="1166">
        <f t="shared" si="208"/>
        <v>55468.69</v>
      </c>
      <c r="AA600" s="1166">
        <f t="shared" si="208"/>
        <v>24000</v>
      </c>
      <c r="AB600" s="1166">
        <f t="shared" si="208"/>
        <v>0</v>
      </c>
      <c r="AC600" s="1166">
        <f t="shared" si="208"/>
        <v>24000</v>
      </c>
      <c r="AD600" s="1166">
        <f t="shared" si="208"/>
        <v>0</v>
      </c>
      <c r="AE600" s="1166">
        <f t="shared" si="208"/>
        <v>689624.28</v>
      </c>
      <c r="AF600" s="1165">
        <f t="shared" si="208"/>
        <v>0</v>
      </c>
      <c r="AG600" s="1167">
        <f t="shared" si="208"/>
        <v>-239023.19483999992</v>
      </c>
      <c r="AH600" s="1165">
        <f>SUM(AH601:AH606)</f>
        <v>24</v>
      </c>
      <c r="AI600" s="1166">
        <f t="shared" ref="AI600" si="209">SUM(AI601:AI606)</f>
        <v>928647.47483999992</v>
      </c>
    </row>
    <row r="601" spans="1:35" x14ac:dyDescent="0.2">
      <c r="A601" s="1138" t="s">
        <v>2853</v>
      </c>
      <c r="B601" s="1136"/>
      <c r="C601" s="1160"/>
      <c r="D601" s="1160"/>
      <c r="E601" s="1160"/>
      <c r="F601" s="1160"/>
      <c r="G601" s="1160"/>
      <c r="H601" s="1160"/>
      <c r="I601" s="1160"/>
      <c r="J601" s="1160"/>
      <c r="K601" s="1160">
        <f t="shared" ref="K601:K606" si="210">SUM(C601:J601)</f>
        <v>0</v>
      </c>
      <c r="L601" s="1160"/>
      <c r="M601" s="1160"/>
      <c r="N601" s="1160">
        <f t="shared" ref="N601:N606" si="211">SUM(L601:M601)</f>
        <v>0</v>
      </c>
      <c r="O601" s="1160"/>
      <c r="P601" s="1160">
        <f t="shared" ref="P601:P606" si="212">(K601*12)+N601</f>
        <v>0</v>
      </c>
      <c r="Q601" s="1136"/>
      <c r="R601" s="1160"/>
      <c r="S601" s="1160"/>
      <c r="T601" s="1160"/>
      <c r="U601" s="1160"/>
      <c r="V601" s="1160"/>
      <c r="W601" s="1160"/>
      <c r="X601" s="1160"/>
      <c r="Y601" s="1160"/>
      <c r="Z601" s="1160">
        <f t="shared" ref="Z601:Z606" si="213">SUM(R601:Y601)</f>
        <v>0</v>
      </c>
      <c r="AA601" s="1160"/>
      <c r="AB601" s="1160"/>
      <c r="AC601" s="1160">
        <f t="shared" ref="AC601:AC606" si="214">SUM(AA601:AB601)</f>
        <v>0</v>
      </c>
      <c r="AD601" s="1160"/>
      <c r="AE601" s="1160">
        <f t="shared" ref="AE601:AE606" si="215">(Z601*12)+AC601</f>
        <v>0</v>
      </c>
      <c r="AF601" s="1136"/>
      <c r="AG601" s="1161">
        <f t="shared" si="200"/>
        <v>0</v>
      </c>
      <c r="AH601" s="1136"/>
      <c r="AI601" s="1160">
        <v>0</v>
      </c>
    </row>
    <row r="602" spans="1:35" x14ac:dyDescent="0.2">
      <c r="A602" s="1138" t="s">
        <v>2854</v>
      </c>
      <c r="B602" s="1136"/>
      <c r="C602" s="1160"/>
      <c r="D602" s="1160"/>
      <c r="E602" s="1160"/>
      <c r="F602" s="1160"/>
      <c r="G602" s="1160"/>
      <c r="H602" s="1160"/>
      <c r="I602" s="1160"/>
      <c r="J602" s="1160"/>
      <c r="K602" s="1160">
        <f t="shared" si="210"/>
        <v>0</v>
      </c>
      <c r="L602" s="1160"/>
      <c r="M602" s="1160"/>
      <c r="N602" s="1160">
        <f t="shared" si="211"/>
        <v>0</v>
      </c>
      <c r="O602" s="1160"/>
      <c r="P602" s="1160">
        <f t="shared" si="212"/>
        <v>0</v>
      </c>
      <c r="Q602" s="1136"/>
      <c r="R602" s="1160"/>
      <c r="S602" s="1160"/>
      <c r="T602" s="1160"/>
      <c r="U602" s="1160"/>
      <c r="V602" s="1160"/>
      <c r="W602" s="1160"/>
      <c r="X602" s="1160"/>
      <c r="Y602" s="1160"/>
      <c r="Z602" s="1160">
        <f t="shared" si="213"/>
        <v>0</v>
      </c>
      <c r="AA602" s="1160"/>
      <c r="AB602" s="1160"/>
      <c r="AC602" s="1160">
        <f t="shared" si="214"/>
        <v>0</v>
      </c>
      <c r="AD602" s="1160"/>
      <c r="AE602" s="1160">
        <f t="shared" si="215"/>
        <v>0</v>
      </c>
      <c r="AF602" s="1136"/>
      <c r="AG602" s="1161">
        <f t="shared" si="200"/>
        <v>0</v>
      </c>
      <c r="AH602" s="1136"/>
      <c r="AI602" s="1160">
        <v>0</v>
      </c>
    </row>
    <row r="603" spans="1:35" x14ac:dyDescent="0.2">
      <c r="A603" s="1138" t="s">
        <v>2855</v>
      </c>
      <c r="B603" s="1136"/>
      <c r="C603" s="1160"/>
      <c r="D603" s="1160"/>
      <c r="E603" s="1160"/>
      <c r="F603" s="1160"/>
      <c r="G603" s="1160"/>
      <c r="H603" s="1160"/>
      <c r="I603" s="1160"/>
      <c r="J603" s="1160"/>
      <c r="K603" s="1160">
        <f t="shared" si="210"/>
        <v>0</v>
      </c>
      <c r="L603" s="1160"/>
      <c r="M603" s="1160"/>
      <c r="N603" s="1160">
        <f t="shared" si="211"/>
        <v>0</v>
      </c>
      <c r="O603" s="1160"/>
      <c r="P603" s="1160">
        <f t="shared" si="212"/>
        <v>0</v>
      </c>
      <c r="Q603" s="1136"/>
      <c r="R603" s="1160"/>
      <c r="S603" s="1160"/>
      <c r="T603" s="1160"/>
      <c r="U603" s="1160"/>
      <c r="V603" s="1160"/>
      <c r="W603" s="1160"/>
      <c r="X603" s="1160"/>
      <c r="Y603" s="1160"/>
      <c r="Z603" s="1160">
        <f t="shared" si="213"/>
        <v>0</v>
      </c>
      <c r="AA603" s="1160"/>
      <c r="AB603" s="1160"/>
      <c r="AC603" s="1160">
        <f t="shared" si="214"/>
        <v>0</v>
      </c>
      <c r="AD603" s="1160"/>
      <c r="AE603" s="1160">
        <f t="shared" si="215"/>
        <v>0</v>
      </c>
      <c r="AF603" s="1136"/>
      <c r="AG603" s="1161">
        <f t="shared" si="200"/>
        <v>0</v>
      </c>
      <c r="AH603" s="1136"/>
      <c r="AI603" s="1160">
        <v>0</v>
      </c>
    </row>
    <row r="604" spans="1:35" x14ac:dyDescent="0.2">
      <c r="A604" s="1138" t="s">
        <v>2856</v>
      </c>
      <c r="B604" s="1136">
        <v>3</v>
      </c>
      <c r="C604" s="1160">
        <v>2844.6698759999999</v>
      </c>
      <c r="D604" s="1160">
        <v>4029.99</v>
      </c>
      <c r="E604" s="1160"/>
      <c r="F604" s="1160"/>
      <c r="G604" s="1160"/>
      <c r="H604" s="1160"/>
      <c r="I604" s="1160"/>
      <c r="J604" s="1160">
        <v>264.18</v>
      </c>
      <c r="K604" s="1160">
        <f>SUM(C604:J604)</f>
        <v>7138.839876</v>
      </c>
      <c r="L604" s="1160">
        <v>3000</v>
      </c>
      <c r="M604" s="1160"/>
      <c r="N604" s="1160">
        <f t="shared" si="211"/>
        <v>3000</v>
      </c>
      <c r="O604" s="1160"/>
      <c r="P604" s="1160">
        <f t="shared" si="212"/>
        <v>88666.078512000007</v>
      </c>
      <c r="Q604" s="1136">
        <v>3</v>
      </c>
      <c r="R604" s="1160">
        <v>2866.23</v>
      </c>
      <c r="S604" s="1160">
        <v>4029.99</v>
      </c>
      <c r="T604" s="1160"/>
      <c r="U604" s="1160"/>
      <c r="V604" s="1160"/>
      <c r="W604" s="1160"/>
      <c r="X604" s="1160"/>
      <c r="Y604" s="1160">
        <v>264.18</v>
      </c>
      <c r="Z604" s="1160">
        <f>SUM(R604:Y604)</f>
        <v>7160.4</v>
      </c>
      <c r="AA604" s="1160">
        <v>3000</v>
      </c>
      <c r="AB604" s="1160"/>
      <c r="AC604" s="1160">
        <f t="shared" si="214"/>
        <v>3000</v>
      </c>
      <c r="AD604" s="1160"/>
      <c r="AE604" s="1160">
        <f t="shared" si="215"/>
        <v>88924.799999999988</v>
      </c>
      <c r="AF604" s="1136"/>
      <c r="AG604" s="1161">
        <f t="shared" si="200"/>
        <v>258.72148799998104</v>
      </c>
      <c r="AH604" s="1136">
        <v>3</v>
      </c>
      <c r="AI604" s="1160">
        <v>88666.078512000007</v>
      </c>
    </row>
    <row r="605" spans="1:35" x14ac:dyDescent="0.2">
      <c r="A605" s="1138" t="s">
        <v>2857</v>
      </c>
      <c r="B605" s="1136">
        <v>6</v>
      </c>
      <c r="C605" s="1160">
        <v>10044.941975999998</v>
      </c>
      <c r="D605" s="1160">
        <v>4029.99</v>
      </c>
      <c r="E605" s="1160"/>
      <c r="F605" s="1160"/>
      <c r="G605" s="1160"/>
      <c r="H605" s="1160"/>
      <c r="I605" s="1160"/>
      <c r="J605" s="1160"/>
      <c r="K605" s="1160">
        <f t="shared" si="210"/>
        <v>14074.931975999998</v>
      </c>
      <c r="L605" s="1160">
        <v>6000</v>
      </c>
      <c r="M605" s="1160"/>
      <c r="N605" s="1160">
        <f t="shared" si="211"/>
        <v>6000</v>
      </c>
      <c r="O605" s="1160"/>
      <c r="P605" s="1160">
        <f t="shared" si="212"/>
        <v>174899.18371199997</v>
      </c>
      <c r="Q605" s="1136">
        <v>6</v>
      </c>
      <c r="R605" s="1160">
        <v>9931.5300000000007</v>
      </c>
      <c r="S605" s="1160">
        <v>4029.99</v>
      </c>
      <c r="T605" s="1160"/>
      <c r="U605" s="1160"/>
      <c r="V605" s="1160"/>
      <c r="W605" s="1160"/>
      <c r="X605" s="1160"/>
      <c r="Y605" s="1160"/>
      <c r="Z605" s="1160">
        <f t="shared" si="213"/>
        <v>13961.52</v>
      </c>
      <c r="AA605" s="1160">
        <v>6000</v>
      </c>
      <c r="AB605" s="1160"/>
      <c r="AC605" s="1160">
        <f t="shared" si="214"/>
        <v>6000</v>
      </c>
      <c r="AD605" s="1160"/>
      <c r="AE605" s="1160">
        <f t="shared" si="215"/>
        <v>173538.24</v>
      </c>
      <c r="AF605" s="1136"/>
      <c r="AG605" s="1161">
        <f t="shared" si="200"/>
        <v>-1360.9437119999784</v>
      </c>
      <c r="AH605" s="1136">
        <v>6</v>
      </c>
      <c r="AI605" s="1160">
        <v>174899.18371199997</v>
      </c>
    </row>
    <row r="606" spans="1:35" x14ac:dyDescent="0.2">
      <c r="A606" s="1138" t="s">
        <v>2858</v>
      </c>
      <c r="B606" s="1136">
        <v>15</v>
      </c>
      <c r="C606" s="1160">
        <f>16710.227718+20000</f>
        <v>36710.227717999995</v>
      </c>
      <c r="D606" s="1160">
        <v>17463.29</v>
      </c>
      <c r="E606" s="1160"/>
      <c r="F606" s="1160"/>
      <c r="G606" s="1160"/>
      <c r="H606" s="1160"/>
      <c r="I606" s="1160"/>
      <c r="J606" s="1160"/>
      <c r="K606" s="1160">
        <f t="shared" si="210"/>
        <v>54173.517717999996</v>
      </c>
      <c r="L606" s="1160">
        <v>15000</v>
      </c>
      <c r="M606" s="1160"/>
      <c r="N606" s="1160">
        <f t="shared" si="211"/>
        <v>15000</v>
      </c>
      <c r="O606" s="1160"/>
      <c r="P606" s="1160">
        <f t="shared" si="212"/>
        <v>665082.21261599998</v>
      </c>
      <c r="Q606" s="1136">
        <v>15</v>
      </c>
      <c r="R606" s="1160">
        <v>16883.48</v>
      </c>
      <c r="S606" s="1160">
        <v>17463.29</v>
      </c>
      <c r="T606" s="1160"/>
      <c r="U606" s="1160"/>
      <c r="V606" s="1160"/>
      <c r="W606" s="1160"/>
      <c r="X606" s="1160"/>
      <c r="Y606" s="1160"/>
      <c r="Z606" s="1160">
        <f t="shared" si="213"/>
        <v>34346.770000000004</v>
      </c>
      <c r="AA606" s="1160">
        <v>15000</v>
      </c>
      <c r="AB606" s="1160"/>
      <c r="AC606" s="1160">
        <f t="shared" si="214"/>
        <v>15000</v>
      </c>
      <c r="AD606" s="1160"/>
      <c r="AE606" s="1160">
        <f t="shared" si="215"/>
        <v>427161.24000000005</v>
      </c>
      <c r="AF606" s="1136"/>
      <c r="AG606" s="1161">
        <f t="shared" si="200"/>
        <v>-237920.97261599993</v>
      </c>
      <c r="AH606" s="1136">
        <v>15</v>
      </c>
      <c r="AI606" s="1160">
        <v>665082.21261599998</v>
      </c>
    </row>
    <row r="607" spans="1:35" x14ac:dyDescent="0.2">
      <c r="A607" s="1164" t="s">
        <v>5</v>
      </c>
      <c r="B607" s="1165">
        <f t="shared" ref="B607:AI607" si="216">SUM(B608:B613)</f>
        <v>716</v>
      </c>
      <c r="C607" s="1166">
        <f t="shared" si="216"/>
        <v>1371619.6153980002</v>
      </c>
      <c r="D607" s="1166">
        <f t="shared" si="216"/>
        <v>202842.83000000013</v>
      </c>
      <c r="E607" s="1166">
        <f t="shared" si="216"/>
        <v>0</v>
      </c>
      <c r="F607" s="1166">
        <f t="shared" si="216"/>
        <v>0</v>
      </c>
      <c r="G607" s="1166">
        <f t="shared" si="216"/>
        <v>0</v>
      </c>
      <c r="H607" s="1166">
        <f t="shared" si="216"/>
        <v>0</v>
      </c>
      <c r="I607" s="1166">
        <f t="shared" si="216"/>
        <v>15450</v>
      </c>
      <c r="J607" s="1166">
        <f t="shared" si="216"/>
        <v>153298.14000000016</v>
      </c>
      <c r="K607" s="1166">
        <f t="shared" si="216"/>
        <v>1743210.5853980009</v>
      </c>
      <c r="L607" s="1166">
        <f t="shared" si="216"/>
        <v>716000</v>
      </c>
      <c r="M607" s="1166">
        <f t="shared" si="216"/>
        <v>0</v>
      </c>
      <c r="N607" s="1166">
        <f t="shared" si="216"/>
        <v>716000</v>
      </c>
      <c r="O607" s="1166">
        <f t="shared" si="216"/>
        <v>0</v>
      </c>
      <c r="P607" s="1166">
        <f t="shared" si="216"/>
        <v>21634527.024776012</v>
      </c>
      <c r="Q607" s="1165">
        <f t="shared" si="216"/>
        <v>716</v>
      </c>
      <c r="R607" s="1166">
        <f t="shared" si="216"/>
        <v>1279888.4300000002</v>
      </c>
      <c r="S607" s="1166">
        <f t="shared" si="216"/>
        <v>241799.4000000002</v>
      </c>
      <c r="T607" s="1166">
        <f t="shared" si="216"/>
        <v>0</v>
      </c>
      <c r="U607" s="1166">
        <f t="shared" si="216"/>
        <v>0</v>
      </c>
      <c r="V607" s="1166">
        <f t="shared" si="216"/>
        <v>0</v>
      </c>
      <c r="W607" s="1166">
        <f t="shared" si="216"/>
        <v>0</v>
      </c>
      <c r="X607" s="1166">
        <f t="shared" si="216"/>
        <v>15450</v>
      </c>
      <c r="Y607" s="1166">
        <f t="shared" si="216"/>
        <v>153298.14000000016</v>
      </c>
      <c r="Z607" s="1166">
        <f t="shared" si="216"/>
        <v>1690435.9700000007</v>
      </c>
      <c r="AA607" s="1166">
        <f t="shared" si="216"/>
        <v>716000</v>
      </c>
      <c r="AB607" s="1166">
        <f t="shared" si="216"/>
        <v>0</v>
      </c>
      <c r="AC607" s="1166">
        <f t="shared" si="216"/>
        <v>716000</v>
      </c>
      <c r="AD607" s="1166">
        <f t="shared" si="216"/>
        <v>0</v>
      </c>
      <c r="AE607" s="1166">
        <f t="shared" si="216"/>
        <v>21001231.640000004</v>
      </c>
      <c r="AF607" s="1165">
        <f t="shared" si="216"/>
        <v>0</v>
      </c>
      <c r="AG607" s="1167">
        <f t="shared" si="216"/>
        <v>-633295.3847760018</v>
      </c>
      <c r="AH607" s="1165">
        <f t="shared" si="216"/>
        <v>716</v>
      </c>
      <c r="AI607" s="1166">
        <f t="shared" si="216"/>
        <v>21634527.024776012</v>
      </c>
    </row>
    <row r="608" spans="1:35" x14ac:dyDescent="0.2">
      <c r="A608" s="1138" t="s">
        <v>2859</v>
      </c>
      <c r="B608" s="1136">
        <v>78</v>
      </c>
      <c r="C608" s="1160">
        <f>128196.427366+10000</f>
        <v>138196.42736600002</v>
      </c>
      <c r="D608" s="1160">
        <v>44329.890000000036</v>
      </c>
      <c r="E608" s="1160"/>
      <c r="F608" s="1160"/>
      <c r="G608" s="1160"/>
      <c r="H608" s="1160"/>
      <c r="I608" s="1160">
        <v>450</v>
      </c>
      <c r="J608" s="1160">
        <v>10085.6</v>
      </c>
      <c r="K608" s="1160">
        <f t="shared" ref="K608:K613" si="217">SUM(C608:J608)</f>
        <v>193061.91736600007</v>
      </c>
      <c r="L608" s="1160">
        <v>78000</v>
      </c>
      <c r="M608" s="1160"/>
      <c r="N608" s="1160">
        <f t="shared" ref="N608:N613" si="218">SUM(L608:M608)</f>
        <v>78000</v>
      </c>
      <c r="O608" s="1160"/>
      <c r="P608" s="1160">
        <f>(K608*12)+N608</f>
        <v>2394743.0083920006</v>
      </c>
      <c r="Q608" s="1136">
        <v>69</v>
      </c>
      <c r="R608" s="1160">
        <v>106376.06</v>
      </c>
      <c r="S608" s="1160">
        <v>44329.890000000036</v>
      </c>
      <c r="T608" s="1160"/>
      <c r="U608" s="1160"/>
      <c r="V608" s="1160"/>
      <c r="W608" s="1160"/>
      <c r="X608" s="1160">
        <v>450</v>
      </c>
      <c r="Y608" s="1160">
        <v>10085.6</v>
      </c>
      <c r="Z608" s="1160">
        <f t="shared" ref="Z608:Z613" si="219">SUM(R608:Y608)</f>
        <v>161241.55000000005</v>
      </c>
      <c r="AA608" s="1160">
        <v>78000</v>
      </c>
      <c r="AB608" s="1160"/>
      <c r="AC608" s="1160">
        <f t="shared" ref="AC608:AC613" si="220">SUM(AA608:AB608)</f>
        <v>78000</v>
      </c>
      <c r="AD608" s="1160"/>
      <c r="AE608" s="1160">
        <f>(Z608*12)+AC608</f>
        <v>2012898.6000000006</v>
      </c>
      <c r="AF608" s="1136"/>
      <c r="AG608" s="1161">
        <f>+AE608-P608</f>
        <v>-381844.40839200001</v>
      </c>
      <c r="AH608" s="1136">
        <v>78</v>
      </c>
      <c r="AI608" s="1160">
        <v>2394743.0083920006</v>
      </c>
    </row>
    <row r="609" spans="1:35" x14ac:dyDescent="0.2">
      <c r="A609" s="1138" t="s">
        <v>2860</v>
      </c>
      <c r="B609" s="1136">
        <v>98</v>
      </c>
      <c r="C609" s="1160">
        <f>175292.409366+10000</f>
        <v>185292.40936600001</v>
      </c>
      <c r="D609" s="1160">
        <v>41643.230000000032</v>
      </c>
      <c r="E609" s="1160"/>
      <c r="F609" s="1160"/>
      <c r="G609" s="1160"/>
      <c r="H609" s="1160"/>
      <c r="I609" s="1160">
        <v>900</v>
      </c>
      <c r="J609" s="1160">
        <v>16952.679999999997</v>
      </c>
      <c r="K609" s="1160">
        <f t="shared" si="217"/>
        <v>244788.31936600004</v>
      </c>
      <c r="L609" s="1160">
        <v>98000</v>
      </c>
      <c r="M609" s="1160"/>
      <c r="N609" s="1160">
        <f t="shared" si="218"/>
        <v>98000</v>
      </c>
      <c r="O609" s="1160"/>
      <c r="P609" s="1160">
        <f t="shared" ref="P609:P613" si="221">(K609*12)+N609</f>
        <v>3035459.8323920006</v>
      </c>
      <c r="Q609" s="1136">
        <v>83</v>
      </c>
      <c r="R609" s="1160">
        <v>141278.21000000002</v>
      </c>
      <c r="S609" s="1160">
        <v>37613.240000000027</v>
      </c>
      <c r="T609" s="1160"/>
      <c r="U609" s="1160"/>
      <c r="V609" s="1160"/>
      <c r="W609" s="1160"/>
      <c r="X609" s="1160">
        <v>450</v>
      </c>
      <c r="Y609" s="1160">
        <v>16952.679999999997</v>
      </c>
      <c r="Z609" s="1160">
        <f t="shared" si="219"/>
        <v>196294.13000000003</v>
      </c>
      <c r="AA609" s="1160">
        <v>98000</v>
      </c>
      <c r="AB609" s="1160"/>
      <c r="AC609" s="1160">
        <f t="shared" si="220"/>
        <v>98000</v>
      </c>
      <c r="AD609" s="1160"/>
      <c r="AE609" s="1160">
        <f t="shared" ref="AE609:AE613" si="222">(Z609*12)+AC609</f>
        <v>2453529.5600000005</v>
      </c>
      <c r="AF609" s="1136"/>
      <c r="AG609" s="1161">
        <f t="shared" si="200"/>
        <v>-581930.27239200007</v>
      </c>
      <c r="AH609" s="1136">
        <v>98</v>
      </c>
      <c r="AI609" s="1160">
        <v>3035459.8323920006</v>
      </c>
    </row>
    <row r="610" spans="1:35" x14ac:dyDescent="0.2">
      <c r="A610" s="1138" t="s">
        <v>2861</v>
      </c>
      <c r="B610" s="1136">
        <v>288</v>
      </c>
      <c r="C610" s="1160">
        <f>602142.81925+10000</f>
        <v>612142.81924999994</v>
      </c>
      <c r="D610" s="1160">
        <v>21493.280000000006</v>
      </c>
      <c r="E610" s="1160"/>
      <c r="F610" s="1160"/>
      <c r="G610" s="1160"/>
      <c r="H610" s="1160"/>
      <c r="I610" s="1160">
        <v>10500</v>
      </c>
      <c r="J610" s="1160">
        <v>86551.360000000175</v>
      </c>
      <c r="K610" s="1160">
        <f t="shared" si="217"/>
        <v>730687.45925000019</v>
      </c>
      <c r="L610" s="1160">
        <v>288000</v>
      </c>
      <c r="M610" s="1160"/>
      <c r="N610" s="1160">
        <f t="shared" si="218"/>
        <v>288000</v>
      </c>
      <c r="O610" s="1160"/>
      <c r="P610" s="1160">
        <f t="shared" si="221"/>
        <v>9056249.5110000018</v>
      </c>
      <c r="Q610" s="1136">
        <v>272</v>
      </c>
      <c r="R610" s="1160">
        <v>554914.19999999995</v>
      </c>
      <c r="S610" s="1160">
        <v>20149.950000000004</v>
      </c>
      <c r="T610" s="1160"/>
      <c r="U610" s="1160"/>
      <c r="V610" s="1160"/>
      <c r="W610" s="1160"/>
      <c r="X610" s="1160">
        <v>10350</v>
      </c>
      <c r="Y610" s="1160">
        <v>86551.360000000175</v>
      </c>
      <c r="Z610" s="1160">
        <f t="shared" si="219"/>
        <v>671965.51000000013</v>
      </c>
      <c r="AA610" s="1160">
        <v>288000</v>
      </c>
      <c r="AB610" s="1160"/>
      <c r="AC610" s="1160">
        <f t="shared" si="220"/>
        <v>288000</v>
      </c>
      <c r="AD610" s="1160"/>
      <c r="AE610" s="1160">
        <f t="shared" si="222"/>
        <v>8351586.120000001</v>
      </c>
      <c r="AF610" s="1136"/>
      <c r="AG610" s="1161">
        <f t="shared" si="200"/>
        <v>-704663.39100000076</v>
      </c>
      <c r="AH610" s="1136">
        <v>288</v>
      </c>
      <c r="AI610" s="1160">
        <v>9056249.5110000018</v>
      </c>
    </row>
    <row r="611" spans="1:35" x14ac:dyDescent="0.2">
      <c r="A611" s="1138" t="s">
        <v>2862</v>
      </c>
      <c r="B611" s="1136">
        <v>54</v>
      </c>
      <c r="C611" s="1160">
        <v>64573.083458000001</v>
      </c>
      <c r="D611" s="1160">
        <v>52389.870000000046</v>
      </c>
      <c r="E611" s="1160"/>
      <c r="F611" s="1160"/>
      <c r="G611" s="1160"/>
      <c r="H611" s="1160"/>
      <c r="I611" s="1160">
        <v>150</v>
      </c>
      <c r="J611" s="1160">
        <v>4326.62</v>
      </c>
      <c r="K611" s="1160">
        <f t="shared" si="217"/>
        <v>121439.57345800004</v>
      </c>
      <c r="L611" s="1160">
        <v>54000</v>
      </c>
      <c r="M611" s="1160"/>
      <c r="N611" s="1160">
        <f t="shared" si="218"/>
        <v>54000</v>
      </c>
      <c r="O611" s="1160"/>
      <c r="P611" s="1160">
        <f t="shared" si="221"/>
        <v>1511274.8814960006</v>
      </c>
      <c r="Q611" s="1136">
        <v>50</v>
      </c>
      <c r="R611" s="1160">
        <v>56226.660000000018</v>
      </c>
      <c r="S611" s="1160">
        <v>52389.870000000046</v>
      </c>
      <c r="T611" s="1160"/>
      <c r="U611" s="1160"/>
      <c r="V611" s="1160"/>
      <c r="W611" s="1160"/>
      <c r="X611" s="1160"/>
      <c r="Y611" s="1160">
        <v>4326.62</v>
      </c>
      <c r="Z611" s="1160">
        <f t="shared" si="219"/>
        <v>112943.15000000005</v>
      </c>
      <c r="AA611" s="1160">
        <v>54000</v>
      </c>
      <c r="AB611" s="1160"/>
      <c r="AC611" s="1160">
        <f t="shared" si="220"/>
        <v>54000</v>
      </c>
      <c r="AD611" s="1160"/>
      <c r="AE611" s="1160">
        <f t="shared" si="222"/>
        <v>1409317.8000000007</v>
      </c>
      <c r="AF611" s="1136"/>
      <c r="AG611" s="1161">
        <f t="shared" si="200"/>
        <v>-101957.08149599982</v>
      </c>
      <c r="AH611" s="1136">
        <v>54</v>
      </c>
      <c r="AI611" s="1160">
        <v>1511274.8814960006</v>
      </c>
    </row>
    <row r="612" spans="1:35" x14ac:dyDescent="0.2">
      <c r="A612" s="1138" t="s">
        <v>2863</v>
      </c>
      <c r="B612" s="1136">
        <v>82</v>
      </c>
      <c r="C612" s="1160">
        <v>149300.77109200001</v>
      </c>
      <c r="D612" s="1160">
        <v>26866.600000000013</v>
      </c>
      <c r="E612" s="1160"/>
      <c r="F612" s="1160"/>
      <c r="G612" s="1160"/>
      <c r="H612" s="1160"/>
      <c r="I612" s="1160">
        <v>0</v>
      </c>
      <c r="J612" s="1160">
        <v>18100.23000000001</v>
      </c>
      <c r="K612" s="1160">
        <f t="shared" si="217"/>
        <v>194267.60109200003</v>
      </c>
      <c r="L612" s="1160">
        <v>82000</v>
      </c>
      <c r="M612" s="1160"/>
      <c r="N612" s="1160">
        <f t="shared" si="218"/>
        <v>82000</v>
      </c>
      <c r="O612" s="1160"/>
      <c r="P612" s="1160">
        <f t="shared" si="221"/>
        <v>2413211.2131040003</v>
      </c>
      <c r="Q612" s="1136">
        <v>74</v>
      </c>
      <c r="R612" s="1160">
        <v>122933.29999999997</v>
      </c>
      <c r="S612" s="1160">
        <v>33583.250000000022</v>
      </c>
      <c r="T612" s="1160"/>
      <c r="U612" s="1160"/>
      <c r="V612" s="1160"/>
      <c r="W612" s="1160"/>
      <c r="X612" s="1160"/>
      <c r="Y612" s="1160">
        <v>18100.23000000001</v>
      </c>
      <c r="Z612" s="1160">
        <f t="shared" si="219"/>
        <v>174616.78</v>
      </c>
      <c r="AA612" s="1160">
        <v>82000</v>
      </c>
      <c r="AB612" s="1160"/>
      <c r="AC612" s="1160">
        <f t="shared" si="220"/>
        <v>82000</v>
      </c>
      <c r="AD612" s="1160"/>
      <c r="AE612" s="1160">
        <f t="shared" si="222"/>
        <v>2177401.36</v>
      </c>
      <c r="AF612" s="1136"/>
      <c r="AG612" s="1161">
        <f t="shared" si="200"/>
        <v>-235809.85310400045</v>
      </c>
      <c r="AH612" s="1136">
        <v>82</v>
      </c>
      <c r="AI612" s="1160">
        <v>2413211.2131040003</v>
      </c>
    </row>
    <row r="613" spans="1:35" x14ac:dyDescent="0.2">
      <c r="A613" s="1138" t="s">
        <v>2864</v>
      </c>
      <c r="B613" s="1136">
        <v>116</v>
      </c>
      <c r="C613" s="1160">
        <v>222114.10486600042</v>
      </c>
      <c r="D613" s="1160">
        <v>16119.96</v>
      </c>
      <c r="E613" s="1160"/>
      <c r="F613" s="1160"/>
      <c r="G613" s="1160"/>
      <c r="H613" s="1160"/>
      <c r="I613" s="1160">
        <v>3450</v>
      </c>
      <c r="J613" s="1160">
        <v>17281.649999999994</v>
      </c>
      <c r="K613" s="1160">
        <f t="shared" si="217"/>
        <v>258965.7148660004</v>
      </c>
      <c r="L613" s="1160">
        <v>116000</v>
      </c>
      <c r="M613" s="1160"/>
      <c r="N613" s="1160">
        <f t="shared" si="218"/>
        <v>116000</v>
      </c>
      <c r="O613" s="1160"/>
      <c r="P613" s="1160">
        <f t="shared" si="221"/>
        <v>3223588.5783920046</v>
      </c>
      <c r="Q613" s="1136">
        <v>168</v>
      </c>
      <c r="R613" s="1160">
        <v>298160.00000000023</v>
      </c>
      <c r="S613" s="1160">
        <v>53733.200000000048</v>
      </c>
      <c r="T613" s="1160"/>
      <c r="U613" s="1160"/>
      <c r="V613" s="1160"/>
      <c r="W613" s="1160"/>
      <c r="X613" s="1160">
        <v>4200</v>
      </c>
      <c r="Y613" s="1160">
        <v>17281.649999999994</v>
      </c>
      <c r="Z613" s="1160">
        <f t="shared" si="219"/>
        <v>373374.85000000033</v>
      </c>
      <c r="AA613" s="1160">
        <v>116000</v>
      </c>
      <c r="AB613" s="1160"/>
      <c r="AC613" s="1160">
        <f t="shared" si="220"/>
        <v>116000</v>
      </c>
      <c r="AD613" s="1160"/>
      <c r="AE613" s="1160">
        <f t="shared" si="222"/>
        <v>4596498.2000000039</v>
      </c>
      <c r="AF613" s="1136"/>
      <c r="AG613" s="1161">
        <f t="shared" si="200"/>
        <v>1372909.6216079993</v>
      </c>
      <c r="AH613" s="1136">
        <v>116</v>
      </c>
      <c r="AI613" s="1160">
        <v>3223588.5783920046</v>
      </c>
    </row>
    <row r="614" spans="1:35" x14ac:dyDescent="0.2">
      <c r="A614" s="1164" t="s">
        <v>6</v>
      </c>
      <c r="B614" s="1165">
        <f t="shared" ref="B614:AI614" si="223">SUM(B615:B620)</f>
        <v>217</v>
      </c>
      <c r="C614" s="1166">
        <f t="shared" si="223"/>
        <v>371672.63107799989</v>
      </c>
      <c r="D614" s="1166">
        <f t="shared" si="223"/>
        <v>90003.110000000044</v>
      </c>
      <c r="E614" s="1166">
        <f t="shared" si="223"/>
        <v>0</v>
      </c>
      <c r="F614" s="1166">
        <f t="shared" si="223"/>
        <v>0</v>
      </c>
      <c r="G614" s="1166">
        <f t="shared" si="223"/>
        <v>0</v>
      </c>
      <c r="H614" s="1166">
        <f t="shared" si="223"/>
        <v>0</v>
      </c>
      <c r="I614" s="1166">
        <f t="shared" si="223"/>
        <v>600</v>
      </c>
      <c r="J614" s="1166">
        <f t="shared" si="223"/>
        <v>37845.470000000016</v>
      </c>
      <c r="K614" s="1166">
        <f t="shared" si="223"/>
        <v>500121.21107799996</v>
      </c>
      <c r="L614" s="1166">
        <f t="shared" si="223"/>
        <v>217000</v>
      </c>
      <c r="M614" s="1166">
        <f t="shared" si="223"/>
        <v>0</v>
      </c>
      <c r="N614" s="1166">
        <f t="shared" si="223"/>
        <v>217000</v>
      </c>
      <c r="O614" s="1166">
        <f t="shared" si="223"/>
        <v>0</v>
      </c>
      <c r="P614" s="1166">
        <f t="shared" si="223"/>
        <v>6218454.5329359993</v>
      </c>
      <c r="Q614" s="1165">
        <f t="shared" si="223"/>
        <v>217</v>
      </c>
      <c r="R614" s="1166">
        <f t="shared" si="223"/>
        <v>351177.26999999984</v>
      </c>
      <c r="S614" s="1166">
        <f t="shared" si="223"/>
        <v>103436.41000000006</v>
      </c>
      <c r="T614" s="1166">
        <f t="shared" si="223"/>
        <v>0</v>
      </c>
      <c r="U614" s="1166">
        <f t="shared" si="223"/>
        <v>0</v>
      </c>
      <c r="V614" s="1166">
        <f t="shared" si="223"/>
        <v>0</v>
      </c>
      <c r="W614" s="1166">
        <f t="shared" si="223"/>
        <v>0</v>
      </c>
      <c r="X614" s="1166">
        <f t="shared" si="223"/>
        <v>600</v>
      </c>
      <c r="Y614" s="1166">
        <f t="shared" si="223"/>
        <v>37845.470000000016</v>
      </c>
      <c r="Z614" s="1166">
        <f t="shared" si="223"/>
        <v>493059.14999999991</v>
      </c>
      <c r="AA614" s="1166">
        <f t="shared" si="223"/>
        <v>217000</v>
      </c>
      <c r="AB614" s="1166">
        <f t="shared" si="223"/>
        <v>0</v>
      </c>
      <c r="AC614" s="1166">
        <f t="shared" si="223"/>
        <v>217000</v>
      </c>
      <c r="AD614" s="1166">
        <f t="shared" si="223"/>
        <v>0</v>
      </c>
      <c r="AE614" s="1166">
        <f t="shared" si="223"/>
        <v>6133709.8000000007</v>
      </c>
      <c r="AF614" s="1165">
        <f t="shared" si="223"/>
        <v>0</v>
      </c>
      <c r="AG614" s="1167">
        <f t="shared" si="223"/>
        <v>-84744.73293600051</v>
      </c>
      <c r="AH614" s="1165">
        <f t="shared" si="223"/>
        <v>217</v>
      </c>
      <c r="AI614" s="1166">
        <f t="shared" si="223"/>
        <v>6218454.5329359993</v>
      </c>
    </row>
    <row r="615" spans="1:35" x14ac:dyDescent="0.2">
      <c r="A615" s="1138" t="s">
        <v>2865</v>
      </c>
      <c r="B615" s="1136">
        <v>10</v>
      </c>
      <c r="C615" s="1160">
        <v>18744.180536</v>
      </c>
      <c r="D615" s="1160">
        <v>2686.66</v>
      </c>
      <c r="E615" s="1160"/>
      <c r="F615" s="1160"/>
      <c r="G615" s="1160"/>
      <c r="H615" s="1160"/>
      <c r="I615" s="1160"/>
      <c r="J615" s="1160">
        <v>3459.4300000000003</v>
      </c>
      <c r="K615" s="1160">
        <f t="shared" ref="K615:K620" si="224">SUM(C615:J615)</f>
        <v>24890.270536</v>
      </c>
      <c r="L615" s="1160">
        <v>10000</v>
      </c>
      <c r="M615" s="1160"/>
      <c r="N615" s="1160">
        <f t="shared" ref="N615" si="225">SUM(L615:M615)</f>
        <v>10000</v>
      </c>
      <c r="O615" s="1160"/>
      <c r="P615" s="1160">
        <f t="shared" ref="P615:P620" si="226">(K615*12)+N615</f>
        <v>308683.24643200001</v>
      </c>
      <c r="Q615" s="1136">
        <v>10</v>
      </c>
      <c r="R615" s="1160">
        <v>18360.78</v>
      </c>
      <c r="S615" s="1160">
        <v>2686.66</v>
      </c>
      <c r="T615" s="1160"/>
      <c r="U615" s="1160"/>
      <c r="V615" s="1160"/>
      <c r="W615" s="1160"/>
      <c r="X615" s="1160"/>
      <c r="Y615" s="1160">
        <v>3459.4300000000003</v>
      </c>
      <c r="Z615" s="1160">
        <f t="shared" ref="Z615:Z620" si="227">SUM(R615:Y615)</f>
        <v>24506.87</v>
      </c>
      <c r="AA615" s="1160">
        <v>10000</v>
      </c>
      <c r="AB615" s="1160"/>
      <c r="AC615" s="1160">
        <f t="shared" ref="AC615" si="228">SUM(AA615:AB615)</f>
        <v>10000</v>
      </c>
      <c r="AD615" s="1160"/>
      <c r="AE615" s="1160">
        <f t="shared" ref="AE615:AE620" si="229">(Z615*12)+AC615</f>
        <v>304082.44</v>
      </c>
      <c r="AF615" s="1136"/>
      <c r="AG615" s="1161">
        <f>+AE615-P615</f>
        <v>-4600.8064320000121</v>
      </c>
      <c r="AH615" s="1136">
        <v>10</v>
      </c>
      <c r="AI615" s="1160">
        <v>308683.24643200001</v>
      </c>
    </row>
    <row r="616" spans="1:35" x14ac:dyDescent="0.2">
      <c r="A616" s="1138" t="s">
        <v>2866</v>
      </c>
      <c r="B616" s="1136">
        <v>23</v>
      </c>
      <c r="C616" s="1160">
        <v>42803.282604000007</v>
      </c>
      <c r="D616" s="1160">
        <v>6716.65</v>
      </c>
      <c r="E616" s="1160"/>
      <c r="F616" s="1160"/>
      <c r="G616" s="1160"/>
      <c r="H616" s="1160"/>
      <c r="I616" s="1160">
        <v>150</v>
      </c>
      <c r="J616" s="1160">
        <v>3540.42</v>
      </c>
      <c r="K616" s="1160">
        <f t="shared" si="224"/>
        <v>53210.352604000007</v>
      </c>
      <c r="L616" s="1160">
        <v>23000</v>
      </c>
      <c r="M616" s="1160"/>
      <c r="N616" s="1160">
        <f>SUM(L616:M616)</f>
        <v>23000</v>
      </c>
      <c r="O616" s="1160"/>
      <c r="P616" s="1160">
        <f t="shared" si="226"/>
        <v>661524.23124800005</v>
      </c>
      <c r="Q616" s="1136">
        <v>23</v>
      </c>
      <c r="R616" s="1160">
        <v>41529.050000000003</v>
      </c>
      <c r="S616" s="1160">
        <v>6716.65</v>
      </c>
      <c r="T616" s="1160"/>
      <c r="U616" s="1160"/>
      <c r="V616" s="1160"/>
      <c r="W616" s="1160"/>
      <c r="X616" s="1160">
        <v>150</v>
      </c>
      <c r="Y616" s="1160">
        <v>3540.42</v>
      </c>
      <c r="Z616" s="1160">
        <f t="shared" si="227"/>
        <v>51936.12</v>
      </c>
      <c r="AA616" s="1160">
        <v>23000</v>
      </c>
      <c r="AB616" s="1160"/>
      <c r="AC616" s="1160">
        <f>SUM(AA616:AB616)</f>
        <v>23000</v>
      </c>
      <c r="AD616" s="1160"/>
      <c r="AE616" s="1160">
        <f t="shared" si="229"/>
        <v>646233.44000000006</v>
      </c>
      <c r="AF616" s="1136"/>
      <c r="AG616" s="1161">
        <f t="shared" si="200"/>
        <v>-15290.791247999994</v>
      </c>
      <c r="AH616" s="1136">
        <v>23</v>
      </c>
      <c r="AI616" s="1160">
        <v>661524.23124800005</v>
      </c>
    </row>
    <row r="617" spans="1:35" x14ac:dyDescent="0.2">
      <c r="A617" s="1138" t="s">
        <v>2867</v>
      </c>
      <c r="B617" s="1136">
        <v>36</v>
      </c>
      <c r="C617" s="1160">
        <v>61832.000534000028</v>
      </c>
      <c r="D617" s="1160">
        <v>14776.63</v>
      </c>
      <c r="E617" s="1160"/>
      <c r="F617" s="1160"/>
      <c r="G617" s="1160"/>
      <c r="H617" s="1160"/>
      <c r="I617" s="1160"/>
      <c r="J617" s="1160">
        <v>5981.6900000000005</v>
      </c>
      <c r="K617" s="1160">
        <f t="shared" si="224"/>
        <v>82590.320534000028</v>
      </c>
      <c r="L617" s="1160">
        <v>36000</v>
      </c>
      <c r="M617" s="1160"/>
      <c r="N617" s="1160">
        <f t="shared" ref="N617:N620" si="230">SUM(L617:M617)</f>
        <v>36000</v>
      </c>
      <c r="O617" s="1160"/>
      <c r="P617" s="1160">
        <f t="shared" si="226"/>
        <v>1027083.8464080003</v>
      </c>
      <c r="Q617" s="1136">
        <v>34</v>
      </c>
      <c r="R617" s="1160">
        <v>56593.130000000005</v>
      </c>
      <c r="S617" s="1160">
        <v>14776.63</v>
      </c>
      <c r="T617" s="1160"/>
      <c r="U617" s="1160"/>
      <c r="V617" s="1160"/>
      <c r="W617" s="1160"/>
      <c r="X617" s="1160"/>
      <c r="Y617" s="1160">
        <v>5981.6900000000005</v>
      </c>
      <c r="Z617" s="1160">
        <f t="shared" si="227"/>
        <v>77351.450000000012</v>
      </c>
      <c r="AA617" s="1160">
        <v>36000</v>
      </c>
      <c r="AB617" s="1160"/>
      <c r="AC617" s="1160">
        <f t="shared" ref="AC617:AC620" si="231">SUM(AA617:AB617)</f>
        <v>36000</v>
      </c>
      <c r="AD617" s="1160"/>
      <c r="AE617" s="1160">
        <f t="shared" si="229"/>
        <v>964217.40000000014</v>
      </c>
      <c r="AF617" s="1136"/>
      <c r="AG617" s="1161">
        <f t="shared" si="200"/>
        <v>-62866.446408000193</v>
      </c>
      <c r="AH617" s="1136">
        <v>36</v>
      </c>
      <c r="AI617" s="1160">
        <v>1027083.8464080003</v>
      </c>
    </row>
    <row r="618" spans="1:35" x14ac:dyDescent="0.2">
      <c r="A618" s="1138" t="s">
        <v>2868</v>
      </c>
      <c r="B618" s="1136">
        <v>118</v>
      </c>
      <c r="C618" s="1160">
        <v>196050.5602239999</v>
      </c>
      <c r="D618" s="1160">
        <v>56419.860000000052</v>
      </c>
      <c r="E618" s="1160"/>
      <c r="F618" s="1160"/>
      <c r="G618" s="1160"/>
      <c r="H618" s="1160"/>
      <c r="I618" s="1160">
        <v>300</v>
      </c>
      <c r="J618" s="1160">
        <v>20640.880000000012</v>
      </c>
      <c r="K618" s="1160">
        <f t="shared" si="224"/>
        <v>273411.30022399995</v>
      </c>
      <c r="L618" s="1160">
        <v>118000</v>
      </c>
      <c r="M618" s="1160"/>
      <c r="N618" s="1160">
        <f t="shared" si="230"/>
        <v>118000</v>
      </c>
      <c r="O618" s="1160"/>
      <c r="P618" s="1160">
        <f t="shared" si="226"/>
        <v>3398935.6026879996</v>
      </c>
      <c r="Q618" s="1136">
        <v>111</v>
      </c>
      <c r="R618" s="1160">
        <v>174973.14999999988</v>
      </c>
      <c r="S618" s="1160">
        <v>57763.190000000053</v>
      </c>
      <c r="T618" s="1160"/>
      <c r="U618" s="1160"/>
      <c r="V618" s="1160"/>
      <c r="W618" s="1160"/>
      <c r="X618" s="1160">
        <v>300</v>
      </c>
      <c r="Y618" s="1160">
        <v>20640.880000000012</v>
      </c>
      <c r="Z618" s="1160">
        <f t="shared" si="227"/>
        <v>253677.21999999994</v>
      </c>
      <c r="AA618" s="1160">
        <v>118000</v>
      </c>
      <c r="AB618" s="1160"/>
      <c r="AC618" s="1160">
        <f t="shared" si="231"/>
        <v>118000</v>
      </c>
      <c r="AD618" s="1160"/>
      <c r="AE618" s="1160">
        <f t="shared" si="229"/>
        <v>3162126.6399999992</v>
      </c>
      <c r="AF618" s="1136"/>
      <c r="AG618" s="1161">
        <f t="shared" si="200"/>
        <v>-236808.96268800041</v>
      </c>
      <c r="AH618" s="1136">
        <v>118</v>
      </c>
      <c r="AI618" s="1160">
        <v>3398935.6026879996</v>
      </c>
    </row>
    <row r="619" spans="1:35" x14ac:dyDescent="0.2">
      <c r="A619" s="1138" t="s">
        <v>2869</v>
      </c>
      <c r="B619" s="1136">
        <v>2</v>
      </c>
      <c r="C619" s="1160">
        <v>4198.1234119999999</v>
      </c>
      <c r="D619" s="1160">
        <v>0</v>
      </c>
      <c r="E619" s="1160"/>
      <c r="F619" s="1160"/>
      <c r="G619" s="1160"/>
      <c r="H619" s="1160"/>
      <c r="I619" s="1160"/>
      <c r="J619" s="1160">
        <v>555.36</v>
      </c>
      <c r="K619" s="1160">
        <f t="shared" si="224"/>
        <v>4753.4834119999996</v>
      </c>
      <c r="L619" s="1160">
        <v>2000</v>
      </c>
      <c r="M619" s="1160"/>
      <c r="N619" s="1160">
        <f t="shared" si="230"/>
        <v>2000</v>
      </c>
      <c r="O619" s="1160"/>
      <c r="P619" s="1160">
        <f t="shared" si="226"/>
        <v>59041.800943999995</v>
      </c>
      <c r="Q619" s="1136">
        <v>2</v>
      </c>
      <c r="R619" s="1160">
        <v>4100</v>
      </c>
      <c r="S619" s="1160">
        <v>0</v>
      </c>
      <c r="T619" s="1160"/>
      <c r="U619" s="1160"/>
      <c r="V619" s="1160"/>
      <c r="W619" s="1160"/>
      <c r="X619" s="1160"/>
      <c r="Y619" s="1160">
        <v>555.36</v>
      </c>
      <c r="Z619" s="1160">
        <f t="shared" si="227"/>
        <v>4655.3599999999997</v>
      </c>
      <c r="AA619" s="1160">
        <v>2000</v>
      </c>
      <c r="AB619" s="1160"/>
      <c r="AC619" s="1160">
        <f t="shared" si="231"/>
        <v>2000</v>
      </c>
      <c r="AD619" s="1160"/>
      <c r="AE619" s="1160">
        <f t="shared" si="229"/>
        <v>57864.319999999992</v>
      </c>
      <c r="AF619" s="1136"/>
      <c r="AG619" s="1161">
        <f t="shared" si="200"/>
        <v>-1177.4809440000026</v>
      </c>
      <c r="AH619" s="1136">
        <v>2</v>
      </c>
      <c r="AI619" s="1160">
        <v>59041.800943999995</v>
      </c>
    </row>
    <row r="620" spans="1:35" x14ac:dyDescent="0.2">
      <c r="A620" s="1138" t="s">
        <v>2870</v>
      </c>
      <c r="B620" s="1136">
        <v>28</v>
      </c>
      <c r="C620" s="1160">
        <v>48044.483767999991</v>
      </c>
      <c r="D620" s="1160">
        <v>9403.31</v>
      </c>
      <c r="E620" s="1160"/>
      <c r="F620" s="1160"/>
      <c r="G620" s="1160"/>
      <c r="H620" s="1160"/>
      <c r="I620" s="1160">
        <v>150</v>
      </c>
      <c r="J620" s="1160">
        <v>3667.6899999999991</v>
      </c>
      <c r="K620" s="1160">
        <f t="shared" si="224"/>
        <v>61265.483767999991</v>
      </c>
      <c r="L620" s="1160">
        <v>28000</v>
      </c>
      <c r="M620" s="1160"/>
      <c r="N620" s="1160">
        <f t="shared" si="230"/>
        <v>28000</v>
      </c>
      <c r="O620" s="1160"/>
      <c r="P620" s="1160">
        <f t="shared" si="226"/>
        <v>763185.80521599995</v>
      </c>
      <c r="Q620" s="1136">
        <v>37</v>
      </c>
      <c r="R620" s="1160">
        <v>55621.159999999996</v>
      </c>
      <c r="S620" s="1160">
        <v>21493.280000000006</v>
      </c>
      <c r="T620" s="1160"/>
      <c r="U620" s="1160"/>
      <c r="V620" s="1160"/>
      <c r="W620" s="1160"/>
      <c r="X620" s="1160">
        <v>150</v>
      </c>
      <c r="Y620" s="1160">
        <v>3667.6899999999991</v>
      </c>
      <c r="Z620" s="1160">
        <f t="shared" si="227"/>
        <v>80932.13</v>
      </c>
      <c r="AA620" s="1160">
        <v>28000</v>
      </c>
      <c r="AB620" s="1160"/>
      <c r="AC620" s="1160">
        <f t="shared" si="231"/>
        <v>28000</v>
      </c>
      <c r="AD620" s="1160"/>
      <c r="AE620" s="1160">
        <f t="shared" si="229"/>
        <v>999185.56</v>
      </c>
      <c r="AF620" s="1136"/>
      <c r="AG620" s="1161">
        <f t="shared" si="200"/>
        <v>235999.75478400011</v>
      </c>
      <c r="AH620" s="1136">
        <v>28</v>
      </c>
      <c r="AI620" s="1160">
        <v>763185.80521599995</v>
      </c>
    </row>
    <row r="621" spans="1:35" x14ac:dyDescent="0.2">
      <c r="A621" s="1164" t="s">
        <v>2832</v>
      </c>
      <c r="B621" s="1165">
        <f t="shared" ref="B621:AI621" si="232">SUM(B624:B630)</f>
        <v>0</v>
      </c>
      <c r="C621" s="1166">
        <f t="shared" si="232"/>
        <v>0</v>
      </c>
      <c r="D621" s="1166">
        <f t="shared" si="232"/>
        <v>0</v>
      </c>
      <c r="E621" s="1166">
        <f t="shared" si="232"/>
        <v>0</v>
      </c>
      <c r="F621" s="1166">
        <f t="shared" si="232"/>
        <v>0</v>
      </c>
      <c r="G621" s="1166">
        <f t="shared" si="232"/>
        <v>0</v>
      </c>
      <c r="H621" s="1166">
        <f t="shared" si="232"/>
        <v>0</v>
      </c>
      <c r="I621" s="1166">
        <f t="shared" si="232"/>
        <v>0</v>
      </c>
      <c r="J621" s="1166">
        <f t="shared" si="232"/>
        <v>0</v>
      </c>
      <c r="K621" s="1166">
        <f t="shared" si="232"/>
        <v>0</v>
      </c>
      <c r="L621" s="1166">
        <f t="shared" si="232"/>
        <v>0</v>
      </c>
      <c r="M621" s="1166">
        <f t="shared" si="232"/>
        <v>0</v>
      </c>
      <c r="N621" s="1166">
        <f t="shared" si="232"/>
        <v>0</v>
      </c>
      <c r="O621" s="1166">
        <f t="shared" si="232"/>
        <v>0</v>
      </c>
      <c r="P621" s="1166">
        <f t="shared" si="232"/>
        <v>0</v>
      </c>
      <c r="Q621" s="1165">
        <f t="shared" si="232"/>
        <v>0</v>
      </c>
      <c r="R621" s="1166">
        <f t="shared" si="232"/>
        <v>0</v>
      </c>
      <c r="S621" s="1166">
        <f t="shared" si="232"/>
        <v>0</v>
      </c>
      <c r="T621" s="1166">
        <f t="shared" si="232"/>
        <v>0</v>
      </c>
      <c r="U621" s="1166">
        <f t="shared" si="232"/>
        <v>0</v>
      </c>
      <c r="V621" s="1166">
        <f t="shared" si="232"/>
        <v>0</v>
      </c>
      <c r="W621" s="1166">
        <f t="shared" si="232"/>
        <v>0</v>
      </c>
      <c r="X621" s="1166">
        <f t="shared" si="232"/>
        <v>0</v>
      </c>
      <c r="Y621" s="1166">
        <f t="shared" si="232"/>
        <v>0</v>
      </c>
      <c r="Z621" s="1166">
        <f t="shared" si="232"/>
        <v>0</v>
      </c>
      <c r="AA621" s="1166">
        <f t="shared" si="232"/>
        <v>0</v>
      </c>
      <c r="AB621" s="1166">
        <f t="shared" si="232"/>
        <v>0</v>
      </c>
      <c r="AC621" s="1166">
        <f t="shared" si="232"/>
        <v>0</v>
      </c>
      <c r="AD621" s="1166">
        <f t="shared" si="232"/>
        <v>0</v>
      </c>
      <c r="AE621" s="1166">
        <f t="shared" si="232"/>
        <v>0</v>
      </c>
      <c r="AF621" s="1165">
        <f t="shared" si="232"/>
        <v>0</v>
      </c>
      <c r="AG621" s="1167">
        <f t="shared" si="232"/>
        <v>0</v>
      </c>
      <c r="AH621" s="1165">
        <f t="shared" si="232"/>
        <v>0</v>
      </c>
      <c r="AI621" s="1166">
        <f t="shared" si="232"/>
        <v>0</v>
      </c>
    </row>
    <row r="622" spans="1:35" ht="12.75" x14ac:dyDescent="0.2">
      <c r="A622" s="530" t="s">
        <v>2833</v>
      </c>
      <c r="B622" s="1140"/>
      <c r="C622" s="1168"/>
      <c r="D622" s="1169"/>
      <c r="E622" s="1170"/>
      <c r="F622" s="1168"/>
      <c r="G622" s="1168"/>
      <c r="H622" s="1168"/>
      <c r="I622" s="1168"/>
      <c r="J622" s="1168"/>
      <c r="K622" s="1169">
        <f t="shared" ref="K622:K630" si="233">SUM(C622:J622)</f>
        <v>0</v>
      </c>
      <c r="L622" s="1171"/>
      <c r="M622" s="1171"/>
      <c r="N622" s="1172">
        <f t="shared" ref="N622:N630" si="234">SUM(L622:M622)</f>
        <v>0</v>
      </c>
      <c r="O622" s="1171"/>
      <c r="P622" s="1160">
        <f t="shared" ref="P622:P630" si="235">(K622*12)+N622</f>
        <v>0</v>
      </c>
      <c r="Q622" s="1140"/>
      <c r="R622" s="1168"/>
      <c r="S622" s="1169"/>
      <c r="T622" s="1170"/>
      <c r="U622" s="1168"/>
      <c r="V622" s="1168"/>
      <c r="W622" s="1168"/>
      <c r="X622" s="1168"/>
      <c r="Y622" s="1168"/>
      <c r="Z622" s="1169">
        <f t="shared" ref="Z622:Z630" si="236">SUM(R622:Y622)</f>
        <v>0</v>
      </c>
      <c r="AA622" s="1171"/>
      <c r="AB622" s="1171"/>
      <c r="AC622" s="1172">
        <f t="shared" ref="AC622:AC630" si="237">SUM(AA622:AB622)</f>
        <v>0</v>
      </c>
      <c r="AD622" s="1171"/>
      <c r="AE622" s="1160">
        <f t="shared" ref="AE622:AE630" si="238">(Z622*12)+AC622</f>
        <v>0</v>
      </c>
      <c r="AF622" s="1173"/>
      <c r="AG622" s="1161">
        <f t="shared" si="200"/>
        <v>0</v>
      </c>
      <c r="AH622" s="1140"/>
      <c r="AI622" s="1168"/>
    </row>
    <row r="623" spans="1:35" ht="12.75" x14ac:dyDescent="0.2">
      <c r="A623" s="1138" t="s">
        <v>2834</v>
      </c>
      <c r="B623" s="1141"/>
      <c r="C623" s="1174"/>
      <c r="D623" s="1175"/>
      <c r="E623" s="1176"/>
      <c r="F623" s="1174"/>
      <c r="G623" s="1174"/>
      <c r="H623" s="1174"/>
      <c r="I623" s="1174"/>
      <c r="J623" s="1174"/>
      <c r="K623" s="1175">
        <f t="shared" si="233"/>
        <v>0</v>
      </c>
      <c r="L623" s="1177"/>
      <c r="M623" s="1177"/>
      <c r="N623" s="1178">
        <f t="shared" si="234"/>
        <v>0</v>
      </c>
      <c r="O623" s="1177"/>
      <c r="P623" s="1160">
        <f t="shared" si="235"/>
        <v>0</v>
      </c>
      <c r="Q623" s="1141"/>
      <c r="R623" s="1174"/>
      <c r="S623" s="1175"/>
      <c r="T623" s="1176"/>
      <c r="U623" s="1174"/>
      <c r="V623" s="1174"/>
      <c r="W623" s="1174"/>
      <c r="X623" s="1174"/>
      <c r="Y623" s="1174"/>
      <c r="Z623" s="1175">
        <f t="shared" si="236"/>
        <v>0</v>
      </c>
      <c r="AA623" s="1177"/>
      <c r="AB623" s="1177"/>
      <c r="AC623" s="1178">
        <f t="shared" si="237"/>
        <v>0</v>
      </c>
      <c r="AD623" s="1177"/>
      <c r="AE623" s="1160">
        <f t="shared" si="238"/>
        <v>0</v>
      </c>
      <c r="AF623" s="1179"/>
      <c r="AG623" s="1161">
        <f t="shared" si="200"/>
        <v>0</v>
      </c>
      <c r="AH623" s="1141"/>
      <c r="AI623" s="1174"/>
    </row>
    <row r="624" spans="1:35" x14ac:dyDescent="0.2">
      <c r="A624" s="1138">
        <v>12</v>
      </c>
      <c r="B624" s="1136"/>
      <c r="C624" s="1160"/>
      <c r="D624" s="1160"/>
      <c r="E624" s="1160"/>
      <c r="F624" s="1160"/>
      <c r="G624" s="1160"/>
      <c r="H624" s="1160"/>
      <c r="I624" s="1160"/>
      <c r="J624" s="1160"/>
      <c r="K624" s="1160">
        <f t="shared" si="233"/>
        <v>0</v>
      </c>
      <c r="L624" s="1160"/>
      <c r="M624" s="1160"/>
      <c r="N624" s="1160">
        <f t="shared" si="234"/>
        <v>0</v>
      </c>
      <c r="O624" s="1160"/>
      <c r="P624" s="1160">
        <f t="shared" si="235"/>
        <v>0</v>
      </c>
      <c r="Q624" s="1136"/>
      <c r="R624" s="1160"/>
      <c r="S624" s="1160"/>
      <c r="T624" s="1160"/>
      <c r="U624" s="1160"/>
      <c r="V624" s="1160"/>
      <c r="W624" s="1160"/>
      <c r="X624" s="1160"/>
      <c r="Y624" s="1160"/>
      <c r="Z624" s="1160">
        <f t="shared" si="236"/>
        <v>0</v>
      </c>
      <c r="AA624" s="1160"/>
      <c r="AB624" s="1160"/>
      <c r="AC624" s="1160">
        <f t="shared" si="237"/>
        <v>0</v>
      </c>
      <c r="AD624" s="1160"/>
      <c r="AE624" s="1160">
        <f t="shared" si="238"/>
        <v>0</v>
      </c>
      <c r="AF624" s="1136"/>
      <c r="AG624" s="1161">
        <f t="shared" si="200"/>
        <v>0</v>
      </c>
      <c r="AH624" s="1136"/>
      <c r="AI624" s="1160"/>
    </row>
    <row r="625" spans="1:35" x14ac:dyDescent="0.2">
      <c r="A625" s="1138">
        <v>11</v>
      </c>
      <c r="B625" s="1136"/>
      <c r="C625" s="1160"/>
      <c r="D625" s="1160"/>
      <c r="E625" s="1160"/>
      <c r="F625" s="1160"/>
      <c r="G625" s="1160"/>
      <c r="H625" s="1160"/>
      <c r="I625" s="1160"/>
      <c r="J625" s="1160"/>
      <c r="K625" s="1160">
        <f t="shared" si="233"/>
        <v>0</v>
      </c>
      <c r="L625" s="1160"/>
      <c r="M625" s="1160"/>
      <c r="N625" s="1160">
        <f t="shared" si="234"/>
        <v>0</v>
      </c>
      <c r="O625" s="1160"/>
      <c r="P625" s="1160">
        <f t="shared" si="235"/>
        <v>0</v>
      </c>
      <c r="Q625" s="1136"/>
      <c r="R625" s="1160"/>
      <c r="S625" s="1160"/>
      <c r="T625" s="1160"/>
      <c r="U625" s="1160"/>
      <c r="V625" s="1160"/>
      <c r="W625" s="1160"/>
      <c r="X625" s="1160"/>
      <c r="Y625" s="1160"/>
      <c r="Z625" s="1160">
        <f t="shared" si="236"/>
        <v>0</v>
      </c>
      <c r="AA625" s="1160"/>
      <c r="AB625" s="1160"/>
      <c r="AC625" s="1160">
        <f t="shared" si="237"/>
        <v>0</v>
      </c>
      <c r="AD625" s="1160"/>
      <c r="AE625" s="1160">
        <f t="shared" si="238"/>
        <v>0</v>
      </c>
      <c r="AF625" s="1136"/>
      <c r="AG625" s="1161">
        <f t="shared" si="200"/>
        <v>0</v>
      </c>
      <c r="AH625" s="1136"/>
      <c r="AI625" s="1160"/>
    </row>
    <row r="626" spans="1:35" x14ac:dyDescent="0.2">
      <c r="A626" s="1138">
        <v>10</v>
      </c>
      <c r="B626" s="1136"/>
      <c r="C626" s="1160"/>
      <c r="D626" s="1160"/>
      <c r="E626" s="1160"/>
      <c r="F626" s="1160"/>
      <c r="G626" s="1160"/>
      <c r="H626" s="1160"/>
      <c r="I626" s="1160"/>
      <c r="J626" s="1160"/>
      <c r="K626" s="1160">
        <f t="shared" si="233"/>
        <v>0</v>
      </c>
      <c r="L626" s="1160"/>
      <c r="M626" s="1160"/>
      <c r="N626" s="1160">
        <f t="shared" si="234"/>
        <v>0</v>
      </c>
      <c r="O626" s="1160"/>
      <c r="P626" s="1160">
        <f t="shared" si="235"/>
        <v>0</v>
      </c>
      <c r="Q626" s="1136"/>
      <c r="R626" s="1160"/>
      <c r="S626" s="1160"/>
      <c r="T626" s="1160"/>
      <c r="U626" s="1160"/>
      <c r="V626" s="1160"/>
      <c r="W626" s="1160"/>
      <c r="X626" s="1160"/>
      <c r="Y626" s="1160"/>
      <c r="Z626" s="1160">
        <f t="shared" si="236"/>
        <v>0</v>
      </c>
      <c r="AA626" s="1160"/>
      <c r="AB626" s="1160"/>
      <c r="AC626" s="1160">
        <f t="shared" si="237"/>
        <v>0</v>
      </c>
      <c r="AD626" s="1160"/>
      <c r="AE626" s="1160">
        <f t="shared" si="238"/>
        <v>0</v>
      </c>
      <c r="AF626" s="1136"/>
      <c r="AG626" s="1161">
        <f t="shared" si="200"/>
        <v>0</v>
      </c>
      <c r="AH626" s="1136"/>
      <c r="AI626" s="1160"/>
    </row>
    <row r="627" spans="1:35" x14ac:dyDescent="0.2">
      <c r="A627" s="1142" t="s">
        <v>2835</v>
      </c>
      <c r="B627" s="1136"/>
      <c r="C627" s="1160"/>
      <c r="D627" s="1160"/>
      <c r="E627" s="1160"/>
      <c r="F627" s="1160"/>
      <c r="G627" s="1160"/>
      <c r="H627" s="1160"/>
      <c r="I627" s="1160"/>
      <c r="J627" s="1160"/>
      <c r="K627" s="1160">
        <f t="shared" si="233"/>
        <v>0</v>
      </c>
      <c r="L627" s="1160"/>
      <c r="M627" s="1160"/>
      <c r="N627" s="1160">
        <f t="shared" si="234"/>
        <v>0</v>
      </c>
      <c r="O627" s="1160"/>
      <c r="P627" s="1160">
        <f t="shared" si="235"/>
        <v>0</v>
      </c>
      <c r="Q627" s="1136"/>
      <c r="R627" s="1160"/>
      <c r="S627" s="1160"/>
      <c r="T627" s="1160"/>
      <c r="U627" s="1160"/>
      <c r="V627" s="1160"/>
      <c r="W627" s="1160"/>
      <c r="X627" s="1160"/>
      <c r="Y627" s="1160"/>
      <c r="Z627" s="1160">
        <f t="shared" si="236"/>
        <v>0</v>
      </c>
      <c r="AA627" s="1160"/>
      <c r="AB627" s="1160"/>
      <c r="AC627" s="1160">
        <f t="shared" si="237"/>
        <v>0</v>
      </c>
      <c r="AD627" s="1160"/>
      <c r="AE627" s="1160">
        <f t="shared" si="238"/>
        <v>0</v>
      </c>
      <c r="AF627" s="1136"/>
      <c r="AG627" s="1161">
        <f t="shared" si="200"/>
        <v>0</v>
      </c>
      <c r="AH627" s="1136"/>
      <c r="AI627" s="1160"/>
    </row>
    <row r="628" spans="1:35" x14ac:dyDescent="0.2">
      <c r="A628" s="1142" t="s">
        <v>2836</v>
      </c>
      <c r="B628" s="1136"/>
      <c r="C628" s="1160"/>
      <c r="D628" s="1160"/>
      <c r="E628" s="1160"/>
      <c r="F628" s="1160"/>
      <c r="G628" s="1160"/>
      <c r="H628" s="1160"/>
      <c r="I628" s="1160"/>
      <c r="J628" s="1160"/>
      <c r="K628" s="1160">
        <f t="shared" si="233"/>
        <v>0</v>
      </c>
      <c r="L628" s="1160"/>
      <c r="M628" s="1160"/>
      <c r="N628" s="1160">
        <f t="shared" si="234"/>
        <v>0</v>
      </c>
      <c r="O628" s="1160"/>
      <c r="P628" s="1160">
        <f t="shared" si="235"/>
        <v>0</v>
      </c>
      <c r="Q628" s="1136"/>
      <c r="R628" s="1160"/>
      <c r="S628" s="1160"/>
      <c r="T628" s="1160"/>
      <c r="U628" s="1160"/>
      <c r="V628" s="1160"/>
      <c r="W628" s="1160"/>
      <c r="X628" s="1160"/>
      <c r="Y628" s="1160"/>
      <c r="Z628" s="1160">
        <f t="shared" si="236"/>
        <v>0</v>
      </c>
      <c r="AA628" s="1160"/>
      <c r="AB628" s="1160"/>
      <c r="AC628" s="1160">
        <f t="shared" si="237"/>
        <v>0</v>
      </c>
      <c r="AD628" s="1160"/>
      <c r="AE628" s="1160">
        <f t="shared" si="238"/>
        <v>0</v>
      </c>
      <c r="AF628" s="1136"/>
      <c r="AG628" s="1161">
        <f t="shared" si="200"/>
        <v>0</v>
      </c>
      <c r="AH628" s="1136"/>
      <c r="AI628" s="1160"/>
    </row>
    <row r="629" spans="1:35" x14ac:dyDescent="0.2">
      <c r="A629" s="1142" t="s">
        <v>2837</v>
      </c>
      <c r="B629" s="1136"/>
      <c r="C629" s="1160"/>
      <c r="D629" s="1160"/>
      <c r="E629" s="1160"/>
      <c r="F629" s="1160"/>
      <c r="G629" s="1160"/>
      <c r="H629" s="1160"/>
      <c r="I629" s="1160"/>
      <c r="J629" s="1160"/>
      <c r="K629" s="1160">
        <f t="shared" si="233"/>
        <v>0</v>
      </c>
      <c r="L629" s="1160"/>
      <c r="M629" s="1160"/>
      <c r="N629" s="1160">
        <f t="shared" si="234"/>
        <v>0</v>
      </c>
      <c r="O629" s="1160"/>
      <c r="P629" s="1160">
        <f t="shared" si="235"/>
        <v>0</v>
      </c>
      <c r="Q629" s="1136"/>
      <c r="R629" s="1160"/>
      <c r="S629" s="1160"/>
      <c r="T629" s="1160"/>
      <c r="U629" s="1160"/>
      <c r="V629" s="1160"/>
      <c r="W629" s="1160"/>
      <c r="X629" s="1160"/>
      <c r="Y629" s="1160"/>
      <c r="Z629" s="1160">
        <f t="shared" si="236"/>
        <v>0</v>
      </c>
      <c r="AA629" s="1160"/>
      <c r="AB629" s="1160"/>
      <c r="AC629" s="1160">
        <f t="shared" si="237"/>
        <v>0</v>
      </c>
      <c r="AD629" s="1160"/>
      <c r="AE629" s="1160">
        <f t="shared" si="238"/>
        <v>0</v>
      </c>
      <c r="AF629" s="1136"/>
      <c r="AG629" s="1161">
        <f t="shared" si="200"/>
        <v>0</v>
      </c>
      <c r="AH629" s="1136"/>
      <c r="AI629" s="1160"/>
    </row>
    <row r="630" spans="1:35" x14ac:dyDescent="0.2">
      <c r="A630" s="1142" t="s">
        <v>2838</v>
      </c>
      <c r="B630" s="1136"/>
      <c r="C630" s="1160"/>
      <c r="D630" s="1160"/>
      <c r="E630" s="1160"/>
      <c r="F630" s="1160"/>
      <c r="G630" s="1160"/>
      <c r="H630" s="1160"/>
      <c r="I630" s="1160"/>
      <c r="J630" s="1160"/>
      <c r="K630" s="1160">
        <f t="shared" si="233"/>
        <v>0</v>
      </c>
      <c r="L630" s="1160"/>
      <c r="M630" s="1160"/>
      <c r="N630" s="1160">
        <f t="shared" si="234"/>
        <v>0</v>
      </c>
      <c r="O630" s="1160"/>
      <c r="P630" s="1160">
        <f t="shared" si="235"/>
        <v>0</v>
      </c>
      <c r="Q630" s="1136"/>
      <c r="R630" s="1160"/>
      <c r="S630" s="1160"/>
      <c r="T630" s="1160"/>
      <c r="U630" s="1160"/>
      <c r="V630" s="1160"/>
      <c r="W630" s="1160"/>
      <c r="X630" s="1160"/>
      <c r="Y630" s="1160"/>
      <c r="Z630" s="1160">
        <f t="shared" si="236"/>
        <v>0</v>
      </c>
      <c r="AA630" s="1160"/>
      <c r="AB630" s="1160"/>
      <c r="AC630" s="1160">
        <f t="shared" si="237"/>
        <v>0</v>
      </c>
      <c r="AD630" s="1160"/>
      <c r="AE630" s="1160">
        <f t="shared" si="238"/>
        <v>0</v>
      </c>
      <c r="AF630" s="1136"/>
      <c r="AG630" s="1161">
        <f t="shared" si="200"/>
        <v>0</v>
      </c>
      <c r="AH630" s="1136"/>
      <c r="AI630" s="1160"/>
    </row>
    <row r="631" spans="1:35" x14ac:dyDescent="0.2">
      <c r="A631" s="1164" t="s">
        <v>1834</v>
      </c>
      <c r="B631" s="1165">
        <f t="shared" ref="B631:AI631" si="239">SUM(B632:B636)</f>
        <v>289</v>
      </c>
      <c r="C631" s="1166">
        <f t="shared" si="239"/>
        <v>1902094.3581859965</v>
      </c>
      <c r="D631" s="1166">
        <f t="shared" si="239"/>
        <v>0</v>
      </c>
      <c r="E631" s="1166">
        <f t="shared" si="239"/>
        <v>0</v>
      </c>
      <c r="F631" s="1166">
        <f t="shared" si="239"/>
        <v>0</v>
      </c>
      <c r="G631" s="1166">
        <f t="shared" si="239"/>
        <v>0</v>
      </c>
      <c r="H631" s="1166">
        <f t="shared" si="239"/>
        <v>0</v>
      </c>
      <c r="I631" s="1166">
        <f t="shared" si="239"/>
        <v>270650</v>
      </c>
      <c r="J631" s="1166">
        <f t="shared" si="239"/>
        <v>115817.65000000001</v>
      </c>
      <c r="K631" s="1166">
        <f t="shared" si="239"/>
        <v>2288562.0081859967</v>
      </c>
      <c r="L631" s="1166">
        <f t="shared" si="239"/>
        <v>289000</v>
      </c>
      <c r="M631" s="1166">
        <f t="shared" si="239"/>
        <v>0</v>
      </c>
      <c r="N631" s="1166">
        <f t="shared" si="239"/>
        <v>289000</v>
      </c>
      <c r="O631" s="1166">
        <f t="shared" si="239"/>
        <v>0</v>
      </c>
      <c r="P631" s="1166">
        <f t="shared" si="239"/>
        <v>27751744.09823196</v>
      </c>
      <c r="Q631" s="1165">
        <f t="shared" si="239"/>
        <v>289</v>
      </c>
      <c r="R631" s="1166">
        <f t="shared" si="239"/>
        <v>1885064</v>
      </c>
      <c r="S631" s="1166">
        <f t="shared" si="239"/>
        <v>0</v>
      </c>
      <c r="T631" s="1166">
        <f t="shared" si="239"/>
        <v>0</v>
      </c>
      <c r="U631" s="1166">
        <f t="shared" si="239"/>
        <v>0</v>
      </c>
      <c r="V631" s="1166">
        <f t="shared" si="239"/>
        <v>0</v>
      </c>
      <c r="W631" s="1166">
        <f t="shared" si="239"/>
        <v>0</v>
      </c>
      <c r="X631" s="1166">
        <f t="shared" si="239"/>
        <v>270650</v>
      </c>
      <c r="Y631" s="1166">
        <f t="shared" si="239"/>
        <v>115817.65000000001</v>
      </c>
      <c r="Z631" s="1166">
        <f t="shared" si="239"/>
        <v>2271531.6500000004</v>
      </c>
      <c r="AA631" s="1166">
        <f t="shared" si="239"/>
        <v>289000</v>
      </c>
      <c r="AB631" s="1166">
        <f t="shared" si="239"/>
        <v>0</v>
      </c>
      <c r="AC631" s="1166">
        <f t="shared" si="239"/>
        <v>289000</v>
      </c>
      <c r="AD631" s="1166">
        <f t="shared" si="239"/>
        <v>0</v>
      </c>
      <c r="AE631" s="1166">
        <f t="shared" si="239"/>
        <v>27547379.800000001</v>
      </c>
      <c r="AF631" s="1165">
        <f t="shared" si="239"/>
        <v>0</v>
      </c>
      <c r="AG631" s="1167">
        <f t="shared" si="239"/>
        <v>-204364.29823196045</v>
      </c>
      <c r="AH631" s="1165">
        <f t="shared" si="239"/>
        <v>289</v>
      </c>
      <c r="AI631" s="1166">
        <f t="shared" si="239"/>
        <v>27751744.09823196</v>
      </c>
    </row>
    <row r="632" spans="1:35" x14ac:dyDescent="0.2">
      <c r="A632" s="1138" t="s">
        <v>1475</v>
      </c>
      <c r="B632" s="1136">
        <v>83</v>
      </c>
      <c r="C632" s="1160">
        <f>459619.435646001+10000</f>
        <v>469619.43564600102</v>
      </c>
      <c r="D632" s="1160"/>
      <c r="E632" s="1160"/>
      <c r="F632" s="1160"/>
      <c r="G632" s="1160"/>
      <c r="H632" s="1160"/>
      <c r="I632" s="1160">
        <v>62800</v>
      </c>
      <c r="J632" s="1160">
        <v>26422.66</v>
      </c>
      <c r="K632" s="1160">
        <f t="shared" ref="K632:K636" si="240">SUM(C632:J632)</f>
        <v>558842.09564600105</v>
      </c>
      <c r="L632" s="1160">
        <v>83000</v>
      </c>
      <c r="M632" s="1160"/>
      <c r="N632" s="1160">
        <f t="shared" ref="N632:N636" si="241">SUM(L632:M632)</f>
        <v>83000</v>
      </c>
      <c r="O632" s="1160"/>
      <c r="P632" s="1160">
        <f t="shared" ref="P632:P636" si="242">(K632*12)+N632</f>
        <v>6789105.1477520131</v>
      </c>
      <c r="Q632" s="1136">
        <v>97</v>
      </c>
      <c r="R632" s="1160">
        <v>536604</v>
      </c>
      <c r="S632" s="1160"/>
      <c r="T632" s="1160"/>
      <c r="U632" s="1160"/>
      <c r="V632" s="1160"/>
      <c r="W632" s="1160"/>
      <c r="X632" s="1160">
        <v>68600</v>
      </c>
      <c r="Y632" s="1160">
        <v>26422.66</v>
      </c>
      <c r="Z632" s="1160">
        <f t="shared" ref="Z632:Z636" si="243">SUM(R632:Y632)</f>
        <v>631626.66</v>
      </c>
      <c r="AA632" s="1160">
        <v>83000</v>
      </c>
      <c r="AB632" s="1160"/>
      <c r="AC632" s="1160">
        <f t="shared" ref="AC632:AC636" si="244">SUM(AA632:AB632)</f>
        <v>83000</v>
      </c>
      <c r="AD632" s="1160"/>
      <c r="AE632" s="1160">
        <f t="shared" ref="AE632:AE636" si="245">(Z632*12)+AC632</f>
        <v>7662519.9199999999</v>
      </c>
      <c r="AF632" s="1136"/>
      <c r="AG632" s="1161">
        <f t="shared" ref="AG632:AG636" si="246">+AE632-P632</f>
        <v>873414.77224798687</v>
      </c>
      <c r="AH632" s="1136">
        <v>83</v>
      </c>
      <c r="AI632" s="1160">
        <v>6789105.1477520131</v>
      </c>
    </row>
    <row r="633" spans="1:35" x14ac:dyDescent="0.2">
      <c r="A633" s="1138" t="s">
        <v>1474</v>
      </c>
      <c r="B633" s="1136">
        <v>13</v>
      </c>
      <c r="C633" s="1160">
        <f>76592.568122+10000</f>
        <v>86592.568121999997</v>
      </c>
      <c r="D633" s="1160"/>
      <c r="E633" s="1160"/>
      <c r="F633" s="1160"/>
      <c r="G633" s="1160"/>
      <c r="H633" s="1160"/>
      <c r="I633" s="1160">
        <v>12950</v>
      </c>
      <c r="J633" s="1160">
        <v>8913.73</v>
      </c>
      <c r="K633" s="1160">
        <f t="shared" si="240"/>
        <v>108456.29812199999</v>
      </c>
      <c r="L633" s="1160">
        <v>13000</v>
      </c>
      <c r="M633" s="1160"/>
      <c r="N633" s="1160">
        <f t="shared" si="241"/>
        <v>13000</v>
      </c>
      <c r="O633" s="1160"/>
      <c r="P633" s="1160">
        <f t="shared" si="242"/>
        <v>1314475.5774639999</v>
      </c>
      <c r="Q633" s="1136">
        <v>13</v>
      </c>
      <c r="R633" s="1160">
        <v>77116</v>
      </c>
      <c r="S633" s="1160"/>
      <c r="T633" s="1160"/>
      <c r="U633" s="1160"/>
      <c r="V633" s="1160"/>
      <c r="W633" s="1160"/>
      <c r="X633" s="1160">
        <v>12950</v>
      </c>
      <c r="Y633" s="1160">
        <v>8913.73</v>
      </c>
      <c r="Z633" s="1160">
        <f t="shared" si="243"/>
        <v>98979.73</v>
      </c>
      <c r="AA633" s="1160">
        <v>13000</v>
      </c>
      <c r="AB633" s="1160"/>
      <c r="AC633" s="1160">
        <f t="shared" si="244"/>
        <v>13000</v>
      </c>
      <c r="AD633" s="1160"/>
      <c r="AE633" s="1160">
        <f t="shared" si="245"/>
        <v>1200756.76</v>
      </c>
      <c r="AF633" s="1136"/>
      <c r="AG633" s="1161">
        <f t="shared" si="246"/>
        <v>-113718.81746399985</v>
      </c>
      <c r="AH633" s="1136">
        <v>13</v>
      </c>
      <c r="AI633" s="1160">
        <v>1314475.5774639999</v>
      </c>
    </row>
    <row r="634" spans="1:35" x14ac:dyDescent="0.2">
      <c r="A634" s="1138" t="s">
        <v>1473</v>
      </c>
      <c r="B634" s="1136">
        <v>31</v>
      </c>
      <c r="C634" s="1160">
        <f>192370.671182+10000</f>
        <v>202370.67118199999</v>
      </c>
      <c r="D634" s="1160"/>
      <c r="E634" s="1160"/>
      <c r="F634" s="1160"/>
      <c r="G634" s="1160"/>
      <c r="H634" s="1160"/>
      <c r="I634" s="1160">
        <v>35150</v>
      </c>
      <c r="J634" s="1160">
        <v>18016.66</v>
      </c>
      <c r="K634" s="1160">
        <f t="shared" si="240"/>
        <v>255537.33118199999</v>
      </c>
      <c r="L634" s="1160">
        <v>31000</v>
      </c>
      <c r="M634" s="1160"/>
      <c r="N634" s="1160">
        <f t="shared" si="241"/>
        <v>31000</v>
      </c>
      <c r="O634" s="1160"/>
      <c r="P634" s="1160">
        <f t="shared" si="242"/>
        <v>3097447.9741839999</v>
      </c>
      <c r="Q634" s="1136">
        <v>31</v>
      </c>
      <c r="R634" s="1160">
        <v>196416</v>
      </c>
      <c r="S634" s="1160"/>
      <c r="T634" s="1160"/>
      <c r="U634" s="1160"/>
      <c r="V634" s="1160"/>
      <c r="W634" s="1160"/>
      <c r="X634" s="1160">
        <v>35150</v>
      </c>
      <c r="Y634" s="1160">
        <v>18016.66</v>
      </c>
      <c r="Z634" s="1160">
        <f t="shared" si="243"/>
        <v>249582.66</v>
      </c>
      <c r="AA634" s="1160">
        <v>31000</v>
      </c>
      <c r="AB634" s="1160"/>
      <c r="AC634" s="1160">
        <f t="shared" si="244"/>
        <v>31000</v>
      </c>
      <c r="AD634" s="1160"/>
      <c r="AE634" s="1160">
        <f t="shared" si="245"/>
        <v>3025991.92</v>
      </c>
      <c r="AF634" s="1136"/>
      <c r="AG634" s="1161">
        <f t="shared" si="246"/>
        <v>-71456.054184000008</v>
      </c>
      <c r="AH634" s="1136">
        <v>31</v>
      </c>
      <c r="AI634" s="1160">
        <v>3097447.9741839999</v>
      </c>
    </row>
    <row r="635" spans="1:35" x14ac:dyDescent="0.2">
      <c r="A635" s="1138" t="s">
        <v>1472</v>
      </c>
      <c r="B635" s="1136">
        <v>3</v>
      </c>
      <c r="C635" s="1160">
        <f>19822.604946+10453.55</f>
        <v>30276.154945999999</v>
      </c>
      <c r="D635" s="1160"/>
      <c r="E635" s="1160"/>
      <c r="F635" s="1160"/>
      <c r="G635" s="1160"/>
      <c r="H635" s="1160"/>
      <c r="I635" s="1160">
        <v>0</v>
      </c>
      <c r="J635" s="1160">
        <v>0</v>
      </c>
      <c r="K635" s="1160">
        <f t="shared" si="240"/>
        <v>30276.154945999999</v>
      </c>
      <c r="L635" s="1160">
        <v>3000</v>
      </c>
      <c r="M635" s="1160"/>
      <c r="N635" s="1160">
        <f t="shared" si="241"/>
        <v>3000</v>
      </c>
      <c r="O635" s="1160"/>
      <c r="P635" s="1160">
        <f t="shared" si="242"/>
        <v>366313.859352</v>
      </c>
      <c r="Q635" s="1136">
        <v>1</v>
      </c>
      <c r="R635" s="1160">
        <v>6826</v>
      </c>
      <c r="S635" s="1160"/>
      <c r="T635" s="1160"/>
      <c r="U635" s="1160"/>
      <c r="V635" s="1160"/>
      <c r="W635" s="1160"/>
      <c r="X635" s="1160"/>
      <c r="Y635" s="1160">
        <v>0</v>
      </c>
      <c r="Z635" s="1160">
        <f t="shared" si="243"/>
        <v>6826</v>
      </c>
      <c r="AA635" s="1160">
        <v>3000</v>
      </c>
      <c r="AB635" s="1160"/>
      <c r="AC635" s="1160">
        <f t="shared" si="244"/>
        <v>3000</v>
      </c>
      <c r="AD635" s="1160"/>
      <c r="AE635" s="1160">
        <f t="shared" si="245"/>
        <v>84912</v>
      </c>
      <c r="AF635" s="1136"/>
      <c r="AG635" s="1161">
        <f t="shared" si="246"/>
        <v>-281401.859352</v>
      </c>
      <c r="AH635" s="1136">
        <v>3</v>
      </c>
      <c r="AI635" s="1160">
        <v>366313.859352</v>
      </c>
    </row>
    <row r="636" spans="1:35" x14ac:dyDescent="0.2">
      <c r="A636" s="1138" t="s">
        <v>1471</v>
      </c>
      <c r="B636" s="1136">
        <v>159</v>
      </c>
      <c r="C636" s="1160">
        <v>1113235.5282899956</v>
      </c>
      <c r="D636" s="1160"/>
      <c r="E636" s="1160"/>
      <c r="F636" s="1160"/>
      <c r="G636" s="1160"/>
      <c r="H636" s="1160"/>
      <c r="I636" s="1160">
        <v>159750</v>
      </c>
      <c r="J636" s="1160">
        <v>62464.600000000006</v>
      </c>
      <c r="K636" s="1160">
        <f t="shared" si="240"/>
        <v>1335450.1282899957</v>
      </c>
      <c r="L636" s="1160">
        <v>159000</v>
      </c>
      <c r="M636" s="1160"/>
      <c r="N636" s="1160">
        <f t="shared" si="241"/>
        <v>159000</v>
      </c>
      <c r="O636" s="1160"/>
      <c r="P636" s="1160">
        <f t="shared" si="242"/>
        <v>16184401.539479949</v>
      </c>
      <c r="Q636" s="1136">
        <v>147</v>
      </c>
      <c r="R636" s="1160">
        <v>1068102</v>
      </c>
      <c r="S636" s="1160"/>
      <c r="T636" s="1160"/>
      <c r="U636" s="1160"/>
      <c r="V636" s="1160"/>
      <c r="W636" s="1160"/>
      <c r="X636" s="1160">
        <v>153950</v>
      </c>
      <c r="Y636" s="1160">
        <v>62464.600000000006</v>
      </c>
      <c r="Z636" s="1160">
        <f t="shared" si="243"/>
        <v>1284516.6000000001</v>
      </c>
      <c r="AA636" s="1160">
        <v>159000</v>
      </c>
      <c r="AB636" s="1160"/>
      <c r="AC636" s="1160">
        <f t="shared" si="244"/>
        <v>159000</v>
      </c>
      <c r="AD636" s="1160"/>
      <c r="AE636" s="1160">
        <f t="shared" si="245"/>
        <v>15573199.200000001</v>
      </c>
      <c r="AF636" s="1136"/>
      <c r="AG636" s="1161">
        <f t="shared" si="246"/>
        <v>-611202.33947994746</v>
      </c>
      <c r="AH636" s="1136">
        <v>159</v>
      </c>
      <c r="AI636" s="1160">
        <v>16184401.539479949</v>
      </c>
    </row>
    <row r="637" spans="1:35" x14ac:dyDescent="0.2">
      <c r="A637" s="1164" t="s">
        <v>2844</v>
      </c>
      <c r="B637" s="1165">
        <f t="shared" ref="B637:AI637" si="247">SUM(B638:B642)</f>
        <v>361</v>
      </c>
      <c r="C637" s="1166">
        <f t="shared" si="247"/>
        <v>1289666.6885960004</v>
      </c>
      <c r="D637" s="1166">
        <f t="shared" si="247"/>
        <v>0</v>
      </c>
      <c r="E637" s="1166">
        <f t="shared" si="247"/>
        <v>0</v>
      </c>
      <c r="F637" s="1166">
        <f t="shared" si="247"/>
        <v>0</v>
      </c>
      <c r="G637" s="1166">
        <f t="shared" si="247"/>
        <v>0</v>
      </c>
      <c r="H637" s="1166">
        <f t="shared" si="247"/>
        <v>0</v>
      </c>
      <c r="I637" s="1166">
        <f t="shared" si="247"/>
        <v>126200</v>
      </c>
      <c r="J637" s="1166">
        <f t="shared" si="247"/>
        <v>343965.91000000009</v>
      </c>
      <c r="K637" s="1166">
        <f t="shared" si="247"/>
        <v>1759832.5985960006</v>
      </c>
      <c r="L637" s="1166">
        <f t="shared" si="247"/>
        <v>361000</v>
      </c>
      <c r="M637" s="1166">
        <f t="shared" si="247"/>
        <v>0</v>
      </c>
      <c r="N637" s="1166">
        <f t="shared" si="247"/>
        <v>361000</v>
      </c>
      <c r="O637" s="1166">
        <f t="shared" si="247"/>
        <v>0</v>
      </c>
      <c r="P637" s="1166">
        <f t="shared" si="247"/>
        <v>21478991.183152005</v>
      </c>
      <c r="Q637" s="1165">
        <f t="shared" si="247"/>
        <v>361</v>
      </c>
      <c r="R637" s="1166">
        <f t="shared" si="247"/>
        <v>1384816</v>
      </c>
      <c r="S637" s="1166">
        <f t="shared" si="247"/>
        <v>0</v>
      </c>
      <c r="T637" s="1166">
        <f t="shared" si="247"/>
        <v>0</v>
      </c>
      <c r="U637" s="1166">
        <f t="shared" si="247"/>
        <v>0</v>
      </c>
      <c r="V637" s="1166">
        <f t="shared" si="247"/>
        <v>0</v>
      </c>
      <c r="W637" s="1166">
        <f t="shared" si="247"/>
        <v>0</v>
      </c>
      <c r="X637" s="1166">
        <f t="shared" si="247"/>
        <v>126200</v>
      </c>
      <c r="Y637" s="1166">
        <f t="shared" si="247"/>
        <v>343965.91000000009</v>
      </c>
      <c r="Z637" s="1166">
        <f t="shared" si="247"/>
        <v>1854981.9100000001</v>
      </c>
      <c r="AA637" s="1166">
        <f t="shared" si="247"/>
        <v>361000</v>
      </c>
      <c r="AB637" s="1166">
        <f t="shared" si="247"/>
        <v>0</v>
      </c>
      <c r="AC637" s="1166">
        <f t="shared" si="247"/>
        <v>361000</v>
      </c>
      <c r="AD637" s="1166">
        <f t="shared" si="247"/>
        <v>0</v>
      </c>
      <c r="AE637" s="1166">
        <f t="shared" si="247"/>
        <v>22620782.920000002</v>
      </c>
      <c r="AF637" s="1165">
        <f t="shared" si="247"/>
        <v>0</v>
      </c>
      <c r="AG637" s="1167">
        <f t="shared" si="247"/>
        <v>1141791.7368479942</v>
      </c>
      <c r="AH637" s="1165">
        <f t="shared" si="247"/>
        <v>361</v>
      </c>
      <c r="AI637" s="1166">
        <f t="shared" si="247"/>
        <v>21478991.183152005</v>
      </c>
    </row>
    <row r="638" spans="1:35" x14ac:dyDescent="0.2">
      <c r="A638" s="1138" t="s">
        <v>1482</v>
      </c>
      <c r="B638" s="1136">
        <v>169</v>
      </c>
      <c r="C638" s="1160">
        <v>526827.70023000147</v>
      </c>
      <c r="D638" s="1160"/>
      <c r="E638" s="1160"/>
      <c r="F638" s="1160"/>
      <c r="G638" s="1160"/>
      <c r="H638" s="1160"/>
      <c r="I638" s="1160">
        <v>49050</v>
      </c>
      <c r="J638" s="1160">
        <v>117734.02000000005</v>
      </c>
      <c r="K638" s="1160">
        <f t="shared" ref="K638:K642" si="248">SUM(C638:J638)</f>
        <v>693611.72023000149</v>
      </c>
      <c r="L638" s="1160">
        <v>169000</v>
      </c>
      <c r="M638" s="1160"/>
      <c r="N638" s="1160">
        <f t="shared" ref="N638:N642" si="249">SUM(L638:M638)</f>
        <v>169000</v>
      </c>
      <c r="O638" s="1160"/>
      <c r="P638" s="1160">
        <f t="shared" ref="P638:P642" si="250">(K638*12)+N638</f>
        <v>8492340.6427600179</v>
      </c>
      <c r="Q638" s="1136">
        <v>174</v>
      </c>
      <c r="R638" s="1160">
        <v>581856</v>
      </c>
      <c r="S638" s="1160"/>
      <c r="T638" s="1160"/>
      <c r="U638" s="1160"/>
      <c r="V638" s="1160"/>
      <c r="W638" s="1160"/>
      <c r="X638" s="1160">
        <v>49050</v>
      </c>
      <c r="Y638" s="1160">
        <v>117734.02000000005</v>
      </c>
      <c r="Z638" s="1160">
        <f t="shared" ref="Z638:Z642" si="251">SUM(R638:Y638)</f>
        <v>748640.02</v>
      </c>
      <c r="AA638" s="1160">
        <v>169000</v>
      </c>
      <c r="AB638" s="1160"/>
      <c r="AC638" s="1160">
        <f t="shared" ref="AC638:AC642" si="252">SUM(AA638:AB638)</f>
        <v>169000</v>
      </c>
      <c r="AD638" s="1160"/>
      <c r="AE638" s="1160">
        <f t="shared" ref="AE638:AE642" si="253">(Z638*12)+AC638</f>
        <v>9152680.2400000002</v>
      </c>
      <c r="AF638" s="1136"/>
      <c r="AG638" s="1161">
        <f t="shared" ref="AG638:AG675" si="254">+AE638-P638</f>
        <v>660339.59723998234</v>
      </c>
      <c r="AH638" s="1136">
        <v>169</v>
      </c>
      <c r="AI638" s="1160">
        <v>8492340.6427600179</v>
      </c>
    </row>
    <row r="639" spans="1:35" x14ac:dyDescent="0.2">
      <c r="A639" s="1138" t="s">
        <v>1481</v>
      </c>
      <c r="B639" s="1136">
        <v>31</v>
      </c>
      <c r="C639" s="1160">
        <v>106066.64539000003</v>
      </c>
      <c r="D639" s="1160"/>
      <c r="E639" s="1160"/>
      <c r="F639" s="1160"/>
      <c r="G639" s="1160"/>
      <c r="H639" s="1160"/>
      <c r="I639" s="1160">
        <v>10200</v>
      </c>
      <c r="J639" s="1160">
        <v>40221.040000000008</v>
      </c>
      <c r="K639" s="1160">
        <f t="shared" si="248"/>
        <v>156487.68539000006</v>
      </c>
      <c r="L639" s="1160">
        <v>31000</v>
      </c>
      <c r="M639" s="1160"/>
      <c r="N639" s="1160">
        <f t="shared" si="249"/>
        <v>31000</v>
      </c>
      <c r="O639" s="1160"/>
      <c r="P639" s="1160">
        <f t="shared" si="250"/>
        <v>1908852.2246800007</v>
      </c>
      <c r="Q639" s="1136">
        <v>32</v>
      </c>
      <c r="R639" s="1160">
        <v>117120</v>
      </c>
      <c r="S639" s="1160"/>
      <c r="T639" s="1160"/>
      <c r="U639" s="1160"/>
      <c r="V639" s="1160"/>
      <c r="W639" s="1160"/>
      <c r="X639" s="1160">
        <v>10200</v>
      </c>
      <c r="Y639" s="1160">
        <v>40221.040000000008</v>
      </c>
      <c r="Z639" s="1160">
        <f t="shared" si="251"/>
        <v>167541.04</v>
      </c>
      <c r="AA639" s="1160">
        <v>31000</v>
      </c>
      <c r="AB639" s="1160"/>
      <c r="AC639" s="1160">
        <f t="shared" si="252"/>
        <v>31000</v>
      </c>
      <c r="AD639" s="1160"/>
      <c r="AE639" s="1160">
        <f t="shared" si="253"/>
        <v>2041492.48</v>
      </c>
      <c r="AF639" s="1136"/>
      <c r="AG639" s="1161">
        <f t="shared" si="254"/>
        <v>132640.2553199993</v>
      </c>
      <c r="AH639" s="1136">
        <v>31</v>
      </c>
      <c r="AI639" s="1160">
        <v>1908852.2246800007</v>
      </c>
    </row>
    <row r="640" spans="1:35" x14ac:dyDescent="0.2">
      <c r="A640" s="1138" t="s">
        <v>1480</v>
      </c>
      <c r="B640" s="1136">
        <v>12</v>
      </c>
      <c r="C640" s="1160">
        <v>43508.521560000001</v>
      </c>
      <c r="D640" s="1160"/>
      <c r="E640" s="1160"/>
      <c r="F640" s="1160"/>
      <c r="G640" s="1160"/>
      <c r="H640" s="1160"/>
      <c r="I640" s="1160">
        <v>4950</v>
      </c>
      <c r="J640" s="1160">
        <v>15472.28</v>
      </c>
      <c r="K640" s="1160">
        <f t="shared" si="248"/>
        <v>63930.80156</v>
      </c>
      <c r="L640" s="1160">
        <v>12000</v>
      </c>
      <c r="M640" s="1160"/>
      <c r="N640" s="1160">
        <f t="shared" si="249"/>
        <v>12000</v>
      </c>
      <c r="O640" s="1160"/>
      <c r="P640" s="1160">
        <f t="shared" si="250"/>
        <v>779169.61872000003</v>
      </c>
      <c r="Q640" s="1136">
        <v>12</v>
      </c>
      <c r="R640" s="1160">
        <v>46800</v>
      </c>
      <c r="S640" s="1160"/>
      <c r="T640" s="1160"/>
      <c r="U640" s="1160"/>
      <c r="V640" s="1160"/>
      <c r="W640" s="1160"/>
      <c r="X640" s="1160">
        <v>4950</v>
      </c>
      <c r="Y640" s="1160">
        <v>15472.28</v>
      </c>
      <c r="Z640" s="1160">
        <f t="shared" si="251"/>
        <v>67222.28</v>
      </c>
      <c r="AA640" s="1160">
        <v>12000</v>
      </c>
      <c r="AB640" s="1160"/>
      <c r="AC640" s="1160">
        <f t="shared" si="252"/>
        <v>12000</v>
      </c>
      <c r="AD640" s="1160"/>
      <c r="AE640" s="1160">
        <f t="shared" si="253"/>
        <v>818667.36</v>
      </c>
      <c r="AF640" s="1136"/>
      <c r="AG640" s="1161">
        <f t="shared" si="254"/>
        <v>39497.741279999958</v>
      </c>
      <c r="AH640" s="1136">
        <v>12</v>
      </c>
      <c r="AI640" s="1160">
        <v>779169.61872000003</v>
      </c>
    </row>
    <row r="641" spans="1:35" x14ac:dyDescent="0.2">
      <c r="A641" s="1138" t="s">
        <v>1479</v>
      </c>
      <c r="B641" s="1136">
        <v>3</v>
      </c>
      <c r="C641" s="1160">
        <v>11549.093916000002</v>
      </c>
      <c r="D641" s="1160"/>
      <c r="E641" s="1160"/>
      <c r="F641" s="1160"/>
      <c r="G641" s="1160"/>
      <c r="H641" s="1160"/>
      <c r="I641" s="1160">
        <v>750</v>
      </c>
      <c r="J641" s="1160">
        <v>2298.5700000000002</v>
      </c>
      <c r="K641" s="1160">
        <f t="shared" si="248"/>
        <v>14597.663916000001</v>
      </c>
      <c r="L641" s="1160">
        <v>3000</v>
      </c>
      <c r="M641" s="1160"/>
      <c r="N641" s="1160">
        <f t="shared" si="249"/>
        <v>3000</v>
      </c>
      <c r="O641" s="1160"/>
      <c r="P641" s="1160">
        <f t="shared" si="250"/>
        <v>178171.966992</v>
      </c>
      <c r="Q641" s="1136">
        <v>1</v>
      </c>
      <c r="R641" s="1160">
        <v>4158</v>
      </c>
      <c r="S641" s="1160"/>
      <c r="T641" s="1160"/>
      <c r="U641" s="1160"/>
      <c r="V641" s="1160"/>
      <c r="W641" s="1160"/>
      <c r="X641" s="1160">
        <v>750</v>
      </c>
      <c r="Y641" s="1160">
        <v>2298.5700000000002</v>
      </c>
      <c r="Z641" s="1160">
        <f t="shared" si="251"/>
        <v>7206.57</v>
      </c>
      <c r="AA641" s="1160">
        <v>3000</v>
      </c>
      <c r="AB641" s="1160"/>
      <c r="AC641" s="1160">
        <f t="shared" si="252"/>
        <v>3000</v>
      </c>
      <c r="AD641" s="1160"/>
      <c r="AE641" s="1160">
        <f t="shared" si="253"/>
        <v>89478.84</v>
      </c>
      <c r="AF641" s="1136"/>
      <c r="AG641" s="1161">
        <f t="shared" si="254"/>
        <v>-88693.126992000005</v>
      </c>
      <c r="AH641" s="1136">
        <v>3</v>
      </c>
      <c r="AI641" s="1160">
        <v>178171.966992</v>
      </c>
    </row>
    <row r="642" spans="1:35" x14ac:dyDescent="0.2">
      <c r="A642" s="1138" t="s">
        <v>1478</v>
      </c>
      <c r="B642" s="1136">
        <v>146</v>
      </c>
      <c r="C642" s="1160">
        <v>601714.72749999899</v>
      </c>
      <c r="D642" s="1160"/>
      <c r="E642" s="1160"/>
      <c r="F642" s="1160"/>
      <c r="G642" s="1160"/>
      <c r="H642" s="1160"/>
      <c r="I642" s="1160">
        <v>61250</v>
      </c>
      <c r="J642" s="1160">
        <v>168240.00000000003</v>
      </c>
      <c r="K642" s="1160">
        <f t="shared" si="248"/>
        <v>831204.72749999899</v>
      </c>
      <c r="L642" s="1160">
        <v>146000</v>
      </c>
      <c r="M642" s="1160"/>
      <c r="N642" s="1160">
        <f t="shared" si="249"/>
        <v>146000</v>
      </c>
      <c r="O642" s="1160"/>
      <c r="P642" s="1160">
        <f t="shared" si="250"/>
        <v>10120456.729999987</v>
      </c>
      <c r="Q642" s="1136">
        <v>142</v>
      </c>
      <c r="R642" s="1160">
        <v>634882</v>
      </c>
      <c r="S642" s="1160"/>
      <c r="T642" s="1160"/>
      <c r="U642" s="1160"/>
      <c r="V642" s="1160"/>
      <c r="W642" s="1160"/>
      <c r="X642" s="1160">
        <v>61250</v>
      </c>
      <c r="Y642" s="1160">
        <v>168240.00000000003</v>
      </c>
      <c r="Z642" s="1160">
        <f t="shared" si="251"/>
        <v>864372</v>
      </c>
      <c r="AA642" s="1160">
        <v>146000</v>
      </c>
      <c r="AB642" s="1160"/>
      <c r="AC642" s="1160">
        <f t="shared" si="252"/>
        <v>146000</v>
      </c>
      <c r="AD642" s="1160"/>
      <c r="AE642" s="1160">
        <f t="shared" si="253"/>
        <v>10518464</v>
      </c>
      <c r="AF642" s="1136"/>
      <c r="AG642" s="1161">
        <f t="shared" si="254"/>
        <v>398007.27000001259</v>
      </c>
      <c r="AH642" s="1136">
        <v>146</v>
      </c>
      <c r="AI642" s="1160">
        <v>10120456.729999987</v>
      </c>
    </row>
    <row r="643" spans="1:35" x14ac:dyDescent="0.2">
      <c r="A643" s="1164" t="s">
        <v>2350</v>
      </c>
      <c r="B643" s="1165">
        <f t="shared" ref="B643:AI643" si="255">SUM(B644:B648)</f>
        <v>32</v>
      </c>
      <c r="C643" s="1166">
        <f t="shared" si="255"/>
        <v>124380.25722000001</v>
      </c>
      <c r="D643" s="1166">
        <f t="shared" si="255"/>
        <v>0</v>
      </c>
      <c r="E643" s="1166">
        <f t="shared" si="255"/>
        <v>0</v>
      </c>
      <c r="F643" s="1166">
        <f t="shared" si="255"/>
        <v>0</v>
      </c>
      <c r="G643" s="1166">
        <f t="shared" si="255"/>
        <v>0</v>
      </c>
      <c r="H643" s="1166">
        <f t="shared" si="255"/>
        <v>0</v>
      </c>
      <c r="I643" s="1166">
        <f t="shared" si="255"/>
        <v>8800</v>
      </c>
      <c r="J643" s="1166">
        <f t="shared" si="255"/>
        <v>40412.210000000006</v>
      </c>
      <c r="K643" s="1166">
        <f t="shared" si="255"/>
        <v>173592.46722000002</v>
      </c>
      <c r="L643" s="1166">
        <f t="shared" si="255"/>
        <v>32000</v>
      </c>
      <c r="M643" s="1166">
        <f t="shared" si="255"/>
        <v>0</v>
      </c>
      <c r="N643" s="1166">
        <f t="shared" si="255"/>
        <v>32000</v>
      </c>
      <c r="O643" s="1166">
        <f t="shared" si="255"/>
        <v>0</v>
      </c>
      <c r="P643" s="1166">
        <f t="shared" si="255"/>
        <v>2115109.6066399999</v>
      </c>
      <c r="Q643" s="1165">
        <f t="shared" si="255"/>
        <v>32</v>
      </c>
      <c r="R643" s="1166">
        <f t="shared" si="255"/>
        <v>134494</v>
      </c>
      <c r="S643" s="1166">
        <f t="shared" si="255"/>
        <v>0</v>
      </c>
      <c r="T643" s="1166">
        <f t="shared" si="255"/>
        <v>0</v>
      </c>
      <c r="U643" s="1166">
        <f t="shared" si="255"/>
        <v>0</v>
      </c>
      <c r="V643" s="1166">
        <f t="shared" si="255"/>
        <v>0</v>
      </c>
      <c r="W643" s="1166">
        <f t="shared" si="255"/>
        <v>0</v>
      </c>
      <c r="X643" s="1166">
        <f t="shared" si="255"/>
        <v>8800</v>
      </c>
      <c r="Y643" s="1166">
        <f t="shared" si="255"/>
        <v>40412.210000000006</v>
      </c>
      <c r="Z643" s="1166">
        <f t="shared" si="255"/>
        <v>183706.21000000002</v>
      </c>
      <c r="AA643" s="1166">
        <f t="shared" si="255"/>
        <v>32000</v>
      </c>
      <c r="AB643" s="1166">
        <f t="shared" si="255"/>
        <v>0</v>
      </c>
      <c r="AC643" s="1166">
        <f t="shared" si="255"/>
        <v>32000</v>
      </c>
      <c r="AD643" s="1166">
        <f t="shared" si="255"/>
        <v>0</v>
      </c>
      <c r="AE643" s="1166">
        <f t="shared" si="255"/>
        <v>2236474.52</v>
      </c>
      <c r="AF643" s="1165">
        <f t="shared" si="255"/>
        <v>0</v>
      </c>
      <c r="AG643" s="1167">
        <f t="shared" si="255"/>
        <v>121364.91335999986</v>
      </c>
      <c r="AH643" s="1165">
        <f t="shared" si="255"/>
        <v>32</v>
      </c>
      <c r="AI643" s="1166">
        <f t="shared" si="255"/>
        <v>2115109.6066399999</v>
      </c>
    </row>
    <row r="644" spans="1:35" x14ac:dyDescent="0.2">
      <c r="A644" s="1138" t="s">
        <v>1499</v>
      </c>
      <c r="B644" s="1136">
        <v>3</v>
      </c>
      <c r="C644" s="1160">
        <v>9351.9710100000011</v>
      </c>
      <c r="D644" s="1160"/>
      <c r="E644" s="1160"/>
      <c r="F644" s="1160"/>
      <c r="G644" s="1160"/>
      <c r="H644" s="1160"/>
      <c r="I644" s="1160">
        <v>400</v>
      </c>
      <c r="J644" s="1160">
        <v>2103.3900000000003</v>
      </c>
      <c r="K644" s="1160">
        <f t="shared" ref="K644:K648" si="256">SUM(C644:J644)</f>
        <v>11855.361010000001</v>
      </c>
      <c r="L644" s="1160">
        <v>3000</v>
      </c>
      <c r="M644" s="1160"/>
      <c r="N644" s="1160">
        <f t="shared" ref="N644:N648" si="257">SUM(L644:M644)</f>
        <v>3000</v>
      </c>
      <c r="O644" s="1160"/>
      <c r="P644" s="1160">
        <f t="shared" ref="P644:P648" si="258">(K644*12)+N644</f>
        <v>145264.33212000001</v>
      </c>
      <c r="Q644" s="1136">
        <v>3</v>
      </c>
      <c r="R644" s="1160">
        <v>10032</v>
      </c>
      <c r="S644" s="1160"/>
      <c r="T644" s="1160"/>
      <c r="U644" s="1160"/>
      <c r="V644" s="1160"/>
      <c r="W644" s="1160"/>
      <c r="X644" s="1160">
        <v>400</v>
      </c>
      <c r="Y644" s="1160">
        <v>2103.3900000000003</v>
      </c>
      <c r="Z644" s="1160">
        <f t="shared" ref="Z644:Z648" si="259">SUM(R644:Y644)</f>
        <v>12535.39</v>
      </c>
      <c r="AA644" s="1160">
        <v>3000</v>
      </c>
      <c r="AB644" s="1160"/>
      <c r="AC644" s="1160">
        <f t="shared" ref="AC644:AC648" si="260">SUM(AA644:AB644)</f>
        <v>3000</v>
      </c>
      <c r="AD644" s="1160"/>
      <c r="AE644" s="1160">
        <f t="shared" ref="AE644:AE648" si="261">(Z644*12)+AC644</f>
        <v>153424.68</v>
      </c>
      <c r="AF644" s="1136"/>
      <c r="AG644" s="1161">
        <f t="shared" si="254"/>
        <v>8160.3478799999866</v>
      </c>
      <c r="AH644" s="1136">
        <v>3</v>
      </c>
      <c r="AI644" s="1160">
        <v>145264.33212000001</v>
      </c>
    </row>
    <row r="645" spans="1:35" x14ac:dyDescent="0.2">
      <c r="A645" s="1138" t="s">
        <v>1498</v>
      </c>
      <c r="B645" s="1136">
        <v>5</v>
      </c>
      <c r="C645" s="1160">
        <v>17107.523450000001</v>
      </c>
      <c r="D645" s="1160"/>
      <c r="E645" s="1160"/>
      <c r="F645" s="1160"/>
      <c r="G645" s="1160"/>
      <c r="H645" s="1160"/>
      <c r="I645" s="1160">
        <v>450</v>
      </c>
      <c r="J645" s="1160">
        <v>3872.02</v>
      </c>
      <c r="K645" s="1160">
        <f t="shared" si="256"/>
        <v>21429.543450000001</v>
      </c>
      <c r="L645" s="1160">
        <v>5000</v>
      </c>
      <c r="M645" s="1160"/>
      <c r="N645" s="1160">
        <f t="shared" si="257"/>
        <v>5000</v>
      </c>
      <c r="O645" s="1160"/>
      <c r="P645" s="1160">
        <f t="shared" si="258"/>
        <v>262154.52140000003</v>
      </c>
      <c r="Q645" s="1136">
        <v>5</v>
      </c>
      <c r="R645" s="1160">
        <v>18300</v>
      </c>
      <c r="S645" s="1160"/>
      <c r="T645" s="1160"/>
      <c r="U645" s="1160"/>
      <c r="V645" s="1160"/>
      <c r="W645" s="1160"/>
      <c r="X645" s="1160">
        <v>450</v>
      </c>
      <c r="Y645" s="1160">
        <v>3872.02</v>
      </c>
      <c r="Z645" s="1160">
        <f t="shared" si="259"/>
        <v>22622.02</v>
      </c>
      <c r="AA645" s="1160">
        <v>5000</v>
      </c>
      <c r="AB645" s="1160"/>
      <c r="AC645" s="1160">
        <f t="shared" si="260"/>
        <v>5000</v>
      </c>
      <c r="AD645" s="1160"/>
      <c r="AE645" s="1160">
        <f t="shared" si="261"/>
        <v>276464.24</v>
      </c>
      <c r="AF645" s="1136"/>
      <c r="AG645" s="1161">
        <f t="shared" si="254"/>
        <v>14309.718599999964</v>
      </c>
      <c r="AH645" s="1136">
        <v>5</v>
      </c>
      <c r="AI645" s="1160">
        <v>262154.52140000003</v>
      </c>
    </row>
    <row r="646" spans="1:35" x14ac:dyDescent="0.2">
      <c r="A646" s="1138" t="s">
        <v>1497</v>
      </c>
      <c r="B646" s="1136">
        <v>2</v>
      </c>
      <c r="C646" s="1160">
        <v>7251.4202599999999</v>
      </c>
      <c r="D646" s="1160"/>
      <c r="E646" s="1160"/>
      <c r="F646" s="1160"/>
      <c r="G646" s="1160"/>
      <c r="H646" s="1160"/>
      <c r="I646" s="1160">
        <v>900</v>
      </c>
      <c r="J646" s="1160">
        <v>3014.48</v>
      </c>
      <c r="K646" s="1160">
        <f t="shared" si="256"/>
        <v>11165.90026</v>
      </c>
      <c r="L646" s="1160">
        <v>2000</v>
      </c>
      <c r="M646" s="1160"/>
      <c r="N646" s="1160">
        <f t="shared" si="257"/>
        <v>2000</v>
      </c>
      <c r="O646" s="1160"/>
      <c r="P646" s="1160">
        <f t="shared" si="258"/>
        <v>135990.80312</v>
      </c>
      <c r="Q646" s="1136">
        <v>2</v>
      </c>
      <c r="R646" s="1160">
        <v>7800</v>
      </c>
      <c r="S646" s="1160"/>
      <c r="T646" s="1160"/>
      <c r="U646" s="1160"/>
      <c r="V646" s="1160"/>
      <c r="W646" s="1160"/>
      <c r="X646" s="1160">
        <v>900</v>
      </c>
      <c r="Y646" s="1160">
        <v>3014.48</v>
      </c>
      <c r="Z646" s="1160">
        <f t="shared" si="259"/>
        <v>11714.48</v>
      </c>
      <c r="AA646" s="1160">
        <v>2000</v>
      </c>
      <c r="AB646" s="1160"/>
      <c r="AC646" s="1160">
        <f t="shared" si="260"/>
        <v>2000</v>
      </c>
      <c r="AD646" s="1160"/>
      <c r="AE646" s="1160">
        <f t="shared" si="261"/>
        <v>142573.76000000001</v>
      </c>
      <c r="AF646" s="1136"/>
      <c r="AG646" s="1161">
        <f t="shared" si="254"/>
        <v>6582.9568800000125</v>
      </c>
      <c r="AH646" s="1136">
        <v>2</v>
      </c>
      <c r="AI646" s="1160">
        <v>135990.80312</v>
      </c>
    </row>
    <row r="647" spans="1:35" x14ac:dyDescent="0.2">
      <c r="A647" s="1138" t="s">
        <v>1496</v>
      </c>
      <c r="B647" s="1136"/>
      <c r="C647" s="1160"/>
      <c r="D647" s="1160"/>
      <c r="E647" s="1160"/>
      <c r="F647" s="1160"/>
      <c r="G647" s="1160"/>
      <c r="H647" s="1160"/>
      <c r="I647" s="1160"/>
      <c r="J647" s="1160"/>
      <c r="K647" s="1160">
        <f t="shared" si="256"/>
        <v>0</v>
      </c>
      <c r="L647" s="1160"/>
      <c r="M647" s="1160"/>
      <c r="N647" s="1160">
        <f t="shared" si="257"/>
        <v>0</v>
      </c>
      <c r="O647" s="1160"/>
      <c r="P647" s="1160">
        <f t="shared" si="258"/>
        <v>0</v>
      </c>
      <c r="Q647" s="1136"/>
      <c r="R647" s="1160"/>
      <c r="S647" s="1160"/>
      <c r="T647" s="1160"/>
      <c r="U647" s="1160"/>
      <c r="V647" s="1160"/>
      <c r="W647" s="1160"/>
      <c r="X647" s="1160"/>
      <c r="Y647" s="1160"/>
      <c r="Z647" s="1160">
        <f t="shared" si="259"/>
        <v>0</v>
      </c>
      <c r="AA647" s="1160"/>
      <c r="AB647" s="1160"/>
      <c r="AC647" s="1160">
        <f t="shared" si="260"/>
        <v>0</v>
      </c>
      <c r="AD647" s="1160"/>
      <c r="AE647" s="1160">
        <f t="shared" si="261"/>
        <v>0</v>
      </c>
      <c r="AF647" s="1136"/>
      <c r="AG647" s="1161">
        <f t="shared" si="254"/>
        <v>0</v>
      </c>
      <c r="AH647" s="1136"/>
      <c r="AI647" s="1160">
        <v>0</v>
      </c>
    </row>
    <row r="648" spans="1:35" x14ac:dyDescent="0.2">
      <c r="A648" s="1138" t="s">
        <v>1495</v>
      </c>
      <c r="B648" s="1136">
        <v>22</v>
      </c>
      <c r="C648" s="1160">
        <v>90669.342500000013</v>
      </c>
      <c r="D648" s="1160"/>
      <c r="E648" s="1160"/>
      <c r="F648" s="1160"/>
      <c r="G648" s="1160"/>
      <c r="H648" s="1160"/>
      <c r="I648" s="1160">
        <v>7050</v>
      </c>
      <c r="J648" s="1160">
        <v>31422.320000000003</v>
      </c>
      <c r="K648" s="1160">
        <f t="shared" si="256"/>
        <v>129141.66250000002</v>
      </c>
      <c r="L648" s="1160">
        <v>22000</v>
      </c>
      <c r="M648" s="1160"/>
      <c r="N648" s="1160">
        <f t="shared" si="257"/>
        <v>22000</v>
      </c>
      <c r="O648" s="1160"/>
      <c r="P648" s="1160">
        <f t="shared" si="258"/>
        <v>1571699.9500000002</v>
      </c>
      <c r="Q648" s="1136">
        <v>22</v>
      </c>
      <c r="R648" s="1160">
        <v>98362</v>
      </c>
      <c r="S648" s="1160"/>
      <c r="T648" s="1160"/>
      <c r="U648" s="1160"/>
      <c r="V648" s="1160"/>
      <c r="W648" s="1160"/>
      <c r="X648" s="1160">
        <v>7050</v>
      </c>
      <c r="Y648" s="1160">
        <v>31422.320000000003</v>
      </c>
      <c r="Z648" s="1160">
        <f t="shared" si="259"/>
        <v>136834.32</v>
      </c>
      <c r="AA648" s="1160">
        <v>22000</v>
      </c>
      <c r="AB648" s="1160"/>
      <c r="AC648" s="1160">
        <f t="shared" si="260"/>
        <v>22000</v>
      </c>
      <c r="AD648" s="1160"/>
      <c r="AE648" s="1160">
        <f t="shared" si="261"/>
        <v>1664011.84</v>
      </c>
      <c r="AF648" s="1136"/>
      <c r="AG648" s="1161">
        <f t="shared" si="254"/>
        <v>92311.889999999898</v>
      </c>
      <c r="AH648" s="1136">
        <v>22</v>
      </c>
      <c r="AI648" s="1160">
        <v>1571699.9500000002</v>
      </c>
    </row>
    <row r="649" spans="1:35" x14ac:dyDescent="0.2">
      <c r="A649" s="1164" t="s">
        <v>1811</v>
      </c>
      <c r="B649" s="1165">
        <f t="shared" ref="B649:AI649" si="262">SUM(B650:B654)</f>
        <v>8</v>
      </c>
      <c r="C649" s="1166">
        <f t="shared" si="262"/>
        <v>29958.639759999998</v>
      </c>
      <c r="D649" s="1166">
        <f t="shared" si="262"/>
        <v>0</v>
      </c>
      <c r="E649" s="1166">
        <f t="shared" si="262"/>
        <v>0</v>
      </c>
      <c r="F649" s="1166">
        <f t="shared" si="262"/>
        <v>0</v>
      </c>
      <c r="G649" s="1166">
        <f t="shared" si="262"/>
        <v>0</v>
      </c>
      <c r="H649" s="1166">
        <f t="shared" si="262"/>
        <v>0</v>
      </c>
      <c r="I649" s="1166">
        <f t="shared" si="262"/>
        <v>2150</v>
      </c>
      <c r="J649" s="1166">
        <f t="shared" si="262"/>
        <v>0</v>
      </c>
      <c r="K649" s="1166">
        <f t="shared" si="262"/>
        <v>32108.639759999998</v>
      </c>
      <c r="L649" s="1166">
        <f t="shared" si="262"/>
        <v>8000</v>
      </c>
      <c r="M649" s="1166">
        <f t="shared" si="262"/>
        <v>0</v>
      </c>
      <c r="N649" s="1166">
        <f t="shared" si="262"/>
        <v>8000</v>
      </c>
      <c r="O649" s="1166">
        <f t="shared" si="262"/>
        <v>0</v>
      </c>
      <c r="P649" s="1166">
        <f t="shared" si="262"/>
        <v>393303.67712000001</v>
      </c>
      <c r="Q649" s="1165">
        <f t="shared" si="262"/>
        <v>8</v>
      </c>
      <c r="R649" s="1166">
        <f t="shared" si="262"/>
        <v>32387</v>
      </c>
      <c r="S649" s="1166">
        <f t="shared" si="262"/>
        <v>0</v>
      </c>
      <c r="T649" s="1166">
        <f t="shared" si="262"/>
        <v>0</v>
      </c>
      <c r="U649" s="1166">
        <f t="shared" si="262"/>
        <v>0</v>
      </c>
      <c r="V649" s="1166">
        <f t="shared" si="262"/>
        <v>0</v>
      </c>
      <c r="W649" s="1166">
        <f t="shared" si="262"/>
        <v>0</v>
      </c>
      <c r="X649" s="1166">
        <f t="shared" si="262"/>
        <v>2150</v>
      </c>
      <c r="Y649" s="1166">
        <f t="shared" si="262"/>
        <v>0</v>
      </c>
      <c r="Z649" s="1166">
        <f t="shared" si="262"/>
        <v>34537</v>
      </c>
      <c r="AA649" s="1166">
        <f t="shared" si="262"/>
        <v>8000</v>
      </c>
      <c r="AB649" s="1166">
        <f t="shared" si="262"/>
        <v>0</v>
      </c>
      <c r="AC649" s="1166">
        <f t="shared" si="262"/>
        <v>8000</v>
      </c>
      <c r="AD649" s="1166">
        <f t="shared" si="262"/>
        <v>0</v>
      </c>
      <c r="AE649" s="1166">
        <f t="shared" si="262"/>
        <v>422444</v>
      </c>
      <c r="AF649" s="1165">
        <f t="shared" si="262"/>
        <v>0</v>
      </c>
      <c r="AG649" s="1167">
        <f t="shared" si="262"/>
        <v>29140.322880000022</v>
      </c>
      <c r="AH649" s="1165">
        <f t="shared" si="262"/>
        <v>8</v>
      </c>
      <c r="AI649" s="1166">
        <f t="shared" si="262"/>
        <v>393303.67712000001</v>
      </c>
    </row>
    <row r="650" spans="1:35" x14ac:dyDescent="0.2">
      <c r="A650" s="1138" t="s">
        <v>1499</v>
      </c>
      <c r="B650" s="1136">
        <v>3</v>
      </c>
      <c r="C650" s="1160">
        <v>9351.9710100000011</v>
      </c>
      <c r="D650" s="1160"/>
      <c r="E650" s="1160"/>
      <c r="F650" s="1160"/>
      <c r="G650" s="1160"/>
      <c r="H650" s="1160"/>
      <c r="I650" s="1160">
        <v>900</v>
      </c>
      <c r="J650" s="1160"/>
      <c r="K650" s="1160">
        <f t="shared" ref="K650:K654" si="263">SUM(C650:J650)</f>
        <v>10251.971010000001</v>
      </c>
      <c r="L650" s="1160">
        <v>3000</v>
      </c>
      <c r="M650" s="1160"/>
      <c r="N650" s="1160">
        <f t="shared" ref="N650:N654" si="264">SUM(L650:M650)</f>
        <v>3000</v>
      </c>
      <c r="O650" s="1160"/>
      <c r="P650" s="1160">
        <f t="shared" ref="P650:P654" si="265">(K650*12)+N650</f>
        <v>126023.65212000001</v>
      </c>
      <c r="Q650" s="1136">
        <v>3</v>
      </c>
      <c r="R650" s="1160">
        <v>10032</v>
      </c>
      <c r="S650" s="1160"/>
      <c r="T650" s="1160"/>
      <c r="U650" s="1160"/>
      <c r="V650" s="1160"/>
      <c r="W650" s="1160"/>
      <c r="X650" s="1160">
        <v>900</v>
      </c>
      <c r="Y650" s="1160"/>
      <c r="Z650" s="1160">
        <f t="shared" ref="Z650:Z654" si="266">SUM(R650:Y650)</f>
        <v>10932</v>
      </c>
      <c r="AA650" s="1160">
        <v>3000</v>
      </c>
      <c r="AB650" s="1160"/>
      <c r="AC650" s="1160">
        <f t="shared" ref="AC650:AC654" si="267">SUM(AA650:AB650)</f>
        <v>3000</v>
      </c>
      <c r="AD650" s="1160"/>
      <c r="AE650" s="1160">
        <f t="shared" ref="AE650:AE654" si="268">(Z650*12)+AC650</f>
        <v>134184</v>
      </c>
      <c r="AF650" s="1136"/>
      <c r="AG650" s="1161">
        <f t="shared" si="254"/>
        <v>8160.3478799999866</v>
      </c>
      <c r="AH650" s="1136">
        <v>3</v>
      </c>
      <c r="AI650" s="1160">
        <v>126023.65212000001</v>
      </c>
    </row>
    <row r="651" spans="1:35" x14ac:dyDescent="0.2">
      <c r="A651" s="1138" t="s">
        <v>1498</v>
      </c>
      <c r="B651" s="1136"/>
      <c r="C651" s="1160"/>
      <c r="D651" s="1160"/>
      <c r="E651" s="1160"/>
      <c r="F651" s="1160"/>
      <c r="G651" s="1160"/>
      <c r="H651" s="1160"/>
      <c r="I651" s="1160"/>
      <c r="J651" s="1160"/>
      <c r="K651" s="1160">
        <f t="shared" si="263"/>
        <v>0</v>
      </c>
      <c r="L651" s="1160"/>
      <c r="M651" s="1160"/>
      <c r="N651" s="1160">
        <f t="shared" si="264"/>
        <v>0</v>
      </c>
      <c r="O651" s="1160"/>
      <c r="P651" s="1160">
        <f t="shared" si="265"/>
        <v>0</v>
      </c>
      <c r="Q651" s="1136"/>
      <c r="R651" s="1160"/>
      <c r="S651" s="1160"/>
      <c r="T651" s="1160"/>
      <c r="U651" s="1160"/>
      <c r="V651" s="1160"/>
      <c r="W651" s="1160"/>
      <c r="X651" s="1160"/>
      <c r="Y651" s="1160"/>
      <c r="Z651" s="1160">
        <f t="shared" si="266"/>
        <v>0</v>
      </c>
      <c r="AA651" s="1160"/>
      <c r="AB651" s="1160"/>
      <c r="AC651" s="1160">
        <f t="shared" si="267"/>
        <v>0</v>
      </c>
      <c r="AD651" s="1160"/>
      <c r="AE651" s="1160">
        <f t="shared" si="268"/>
        <v>0</v>
      </c>
      <c r="AF651" s="1136"/>
      <c r="AG651" s="1161">
        <f t="shared" si="254"/>
        <v>0</v>
      </c>
      <c r="AH651" s="1136"/>
      <c r="AI651" s="1160">
        <v>0</v>
      </c>
    </row>
    <row r="652" spans="1:35" x14ac:dyDescent="0.2">
      <c r="A652" s="1138" t="s">
        <v>1497</v>
      </c>
      <c r="B652" s="1136"/>
      <c r="C652" s="1160"/>
      <c r="D652" s="1160"/>
      <c r="E652" s="1160"/>
      <c r="F652" s="1160"/>
      <c r="G652" s="1160"/>
      <c r="H652" s="1160"/>
      <c r="I652" s="1160"/>
      <c r="J652" s="1160"/>
      <c r="K652" s="1160">
        <f t="shared" si="263"/>
        <v>0</v>
      </c>
      <c r="L652" s="1160"/>
      <c r="M652" s="1160"/>
      <c r="N652" s="1160">
        <f t="shared" si="264"/>
        <v>0</v>
      </c>
      <c r="O652" s="1160"/>
      <c r="P652" s="1160">
        <f t="shared" si="265"/>
        <v>0</v>
      </c>
      <c r="Q652" s="1136"/>
      <c r="R652" s="1160"/>
      <c r="S652" s="1160"/>
      <c r="T652" s="1160"/>
      <c r="U652" s="1160"/>
      <c r="V652" s="1160"/>
      <c r="W652" s="1160"/>
      <c r="X652" s="1160"/>
      <c r="Y652" s="1160"/>
      <c r="Z652" s="1160">
        <f t="shared" si="266"/>
        <v>0</v>
      </c>
      <c r="AA652" s="1160"/>
      <c r="AB652" s="1160"/>
      <c r="AC652" s="1160">
        <f t="shared" si="267"/>
        <v>0</v>
      </c>
      <c r="AD652" s="1160"/>
      <c r="AE652" s="1160">
        <f t="shared" si="268"/>
        <v>0</v>
      </c>
      <c r="AF652" s="1136"/>
      <c r="AG652" s="1161">
        <f t="shared" si="254"/>
        <v>0</v>
      </c>
      <c r="AH652" s="1136"/>
      <c r="AI652" s="1160">
        <v>0</v>
      </c>
    </row>
    <row r="653" spans="1:35" x14ac:dyDescent="0.2">
      <c r="A653" s="1138" t="s">
        <v>1496</v>
      </c>
      <c r="B653" s="1136"/>
      <c r="C653" s="1160"/>
      <c r="D653" s="1160"/>
      <c r="E653" s="1160"/>
      <c r="F653" s="1160"/>
      <c r="G653" s="1160"/>
      <c r="H653" s="1160"/>
      <c r="I653" s="1160"/>
      <c r="J653" s="1160"/>
      <c r="K653" s="1160">
        <f t="shared" si="263"/>
        <v>0</v>
      </c>
      <c r="L653" s="1160"/>
      <c r="M653" s="1160"/>
      <c r="N653" s="1160">
        <f t="shared" si="264"/>
        <v>0</v>
      </c>
      <c r="O653" s="1160"/>
      <c r="P653" s="1160">
        <f t="shared" si="265"/>
        <v>0</v>
      </c>
      <c r="Q653" s="1136"/>
      <c r="R653" s="1160"/>
      <c r="S653" s="1160"/>
      <c r="T653" s="1160"/>
      <c r="U653" s="1160"/>
      <c r="V653" s="1160"/>
      <c r="W653" s="1160"/>
      <c r="X653" s="1160"/>
      <c r="Y653" s="1160"/>
      <c r="Z653" s="1160">
        <f t="shared" si="266"/>
        <v>0</v>
      </c>
      <c r="AA653" s="1160"/>
      <c r="AB653" s="1160"/>
      <c r="AC653" s="1160">
        <f t="shared" si="267"/>
        <v>0</v>
      </c>
      <c r="AD653" s="1160"/>
      <c r="AE653" s="1160">
        <f t="shared" si="268"/>
        <v>0</v>
      </c>
      <c r="AF653" s="1136"/>
      <c r="AG653" s="1161">
        <f t="shared" si="254"/>
        <v>0</v>
      </c>
      <c r="AH653" s="1136"/>
      <c r="AI653" s="1160">
        <v>0</v>
      </c>
    </row>
    <row r="654" spans="1:35" x14ac:dyDescent="0.2">
      <c r="A654" s="1138" t="s">
        <v>1495</v>
      </c>
      <c r="B654" s="1136">
        <v>5</v>
      </c>
      <c r="C654" s="1160">
        <v>20606.668749999997</v>
      </c>
      <c r="D654" s="1160"/>
      <c r="E654" s="1160"/>
      <c r="F654" s="1160"/>
      <c r="G654" s="1160"/>
      <c r="H654" s="1160"/>
      <c r="I654" s="1160">
        <v>1250</v>
      </c>
      <c r="J654" s="1160"/>
      <c r="K654" s="1160">
        <f t="shared" si="263"/>
        <v>21856.668749999997</v>
      </c>
      <c r="L654" s="1160">
        <v>5000</v>
      </c>
      <c r="M654" s="1160"/>
      <c r="N654" s="1160">
        <f t="shared" si="264"/>
        <v>5000</v>
      </c>
      <c r="O654" s="1160"/>
      <c r="P654" s="1160">
        <f t="shared" si="265"/>
        <v>267280.02499999997</v>
      </c>
      <c r="Q654" s="1136">
        <v>5</v>
      </c>
      <c r="R654" s="1160">
        <v>22355</v>
      </c>
      <c r="S654" s="1160"/>
      <c r="T654" s="1160"/>
      <c r="U654" s="1160"/>
      <c r="V654" s="1160"/>
      <c r="W654" s="1160"/>
      <c r="X654" s="1160">
        <v>1250</v>
      </c>
      <c r="Y654" s="1160"/>
      <c r="Z654" s="1160">
        <f t="shared" si="266"/>
        <v>23605</v>
      </c>
      <c r="AA654" s="1160">
        <v>5000</v>
      </c>
      <c r="AB654" s="1160"/>
      <c r="AC654" s="1160">
        <f t="shared" si="267"/>
        <v>5000</v>
      </c>
      <c r="AD654" s="1160"/>
      <c r="AE654" s="1160">
        <f t="shared" si="268"/>
        <v>288260</v>
      </c>
      <c r="AF654" s="1136"/>
      <c r="AG654" s="1161">
        <f t="shared" si="254"/>
        <v>20979.975000000035</v>
      </c>
      <c r="AH654" s="1136">
        <v>5</v>
      </c>
      <c r="AI654" s="1160">
        <v>267280.02499999997</v>
      </c>
    </row>
    <row r="655" spans="1:35" x14ac:dyDescent="0.2">
      <c r="A655" s="1164" t="s">
        <v>1666</v>
      </c>
      <c r="B655" s="1165">
        <f t="shared" ref="B655:AI655" si="269">SUM(B656:B660)</f>
        <v>64</v>
      </c>
      <c r="C655" s="1166">
        <f t="shared" si="269"/>
        <v>221279.14192399994</v>
      </c>
      <c r="D655" s="1166">
        <f t="shared" si="269"/>
        <v>0</v>
      </c>
      <c r="E655" s="1166">
        <f t="shared" si="269"/>
        <v>0</v>
      </c>
      <c r="F655" s="1166">
        <f t="shared" si="269"/>
        <v>0</v>
      </c>
      <c r="G655" s="1166">
        <f t="shared" si="269"/>
        <v>0</v>
      </c>
      <c r="H655" s="1166">
        <f t="shared" si="269"/>
        <v>0</v>
      </c>
      <c r="I655" s="1166">
        <f t="shared" si="269"/>
        <v>4050</v>
      </c>
      <c r="J655" s="1166">
        <f t="shared" si="269"/>
        <v>42201.22</v>
      </c>
      <c r="K655" s="1166">
        <f t="shared" si="269"/>
        <v>267530.36192399997</v>
      </c>
      <c r="L655" s="1166">
        <f t="shared" si="269"/>
        <v>64000</v>
      </c>
      <c r="M655" s="1166">
        <f t="shared" si="269"/>
        <v>0</v>
      </c>
      <c r="N655" s="1166">
        <f t="shared" si="269"/>
        <v>64000</v>
      </c>
      <c r="O655" s="1166">
        <f t="shared" si="269"/>
        <v>0</v>
      </c>
      <c r="P655" s="1166">
        <f t="shared" si="269"/>
        <v>3274364.3430879992</v>
      </c>
      <c r="Q655" s="1165">
        <f t="shared" si="269"/>
        <v>64</v>
      </c>
      <c r="R655" s="1166">
        <f t="shared" si="269"/>
        <v>236365</v>
      </c>
      <c r="S655" s="1166">
        <f t="shared" si="269"/>
        <v>0</v>
      </c>
      <c r="T655" s="1166">
        <f t="shared" si="269"/>
        <v>0</v>
      </c>
      <c r="U655" s="1166">
        <f t="shared" si="269"/>
        <v>0</v>
      </c>
      <c r="V655" s="1166">
        <f t="shared" si="269"/>
        <v>0</v>
      </c>
      <c r="W655" s="1166">
        <f t="shared" si="269"/>
        <v>0</v>
      </c>
      <c r="X655" s="1166">
        <f t="shared" si="269"/>
        <v>4050</v>
      </c>
      <c r="Y655" s="1166">
        <f t="shared" si="269"/>
        <v>42201.22</v>
      </c>
      <c r="Z655" s="1166">
        <f t="shared" si="269"/>
        <v>282616.21999999997</v>
      </c>
      <c r="AA655" s="1166">
        <f t="shared" si="269"/>
        <v>64000</v>
      </c>
      <c r="AB655" s="1166">
        <f t="shared" si="269"/>
        <v>0</v>
      </c>
      <c r="AC655" s="1166">
        <f t="shared" si="269"/>
        <v>64000</v>
      </c>
      <c r="AD655" s="1166">
        <f t="shared" si="269"/>
        <v>0</v>
      </c>
      <c r="AE655" s="1166">
        <f t="shared" si="269"/>
        <v>3455394.64</v>
      </c>
      <c r="AF655" s="1165">
        <f t="shared" si="269"/>
        <v>0</v>
      </c>
      <c r="AG655" s="1167">
        <f t="shared" si="269"/>
        <v>181030.29691200092</v>
      </c>
      <c r="AH655" s="1165">
        <f t="shared" si="269"/>
        <v>64</v>
      </c>
      <c r="AI655" s="1166">
        <f t="shared" si="269"/>
        <v>3274364.3430879992</v>
      </c>
    </row>
    <row r="656" spans="1:35" x14ac:dyDescent="0.2">
      <c r="A656" s="1138">
        <v>1</v>
      </c>
      <c r="B656" s="1136">
        <v>38</v>
      </c>
      <c r="C656" s="1160">
        <v>118458.29945999995</v>
      </c>
      <c r="D656" s="1160"/>
      <c r="E656" s="1160"/>
      <c r="F656" s="1160"/>
      <c r="G656" s="1160"/>
      <c r="H656" s="1160"/>
      <c r="I656" s="1160">
        <v>1500</v>
      </c>
      <c r="J656" s="1160">
        <v>20772.579999999998</v>
      </c>
      <c r="K656" s="1160">
        <f t="shared" ref="K656:K660" si="270">SUM(C656:J656)</f>
        <v>140730.87945999994</v>
      </c>
      <c r="L656" s="1160">
        <v>38000</v>
      </c>
      <c r="M656" s="1160"/>
      <c r="N656" s="1160">
        <f t="shared" ref="N656:N660" si="271">SUM(L656:M656)</f>
        <v>38000</v>
      </c>
      <c r="O656" s="1160"/>
      <c r="P656" s="1160">
        <f t="shared" ref="P656:P660" si="272">(K656*12)+N656</f>
        <v>1726770.5535199991</v>
      </c>
      <c r="Q656" s="1136">
        <v>40</v>
      </c>
      <c r="R656" s="1160">
        <v>133760</v>
      </c>
      <c r="S656" s="1160"/>
      <c r="T656" s="1160"/>
      <c r="U656" s="1160"/>
      <c r="V656" s="1160"/>
      <c r="W656" s="1160"/>
      <c r="X656" s="1160">
        <v>1500</v>
      </c>
      <c r="Y656" s="1160">
        <v>20772.579999999998</v>
      </c>
      <c r="Z656" s="1160">
        <f t="shared" ref="Z656:Z660" si="273">SUM(R656:Y656)</f>
        <v>156032.57999999999</v>
      </c>
      <c r="AA656" s="1160">
        <v>38000</v>
      </c>
      <c r="AB656" s="1160"/>
      <c r="AC656" s="1160">
        <f t="shared" ref="AC656:AC660" si="274">SUM(AA656:AB656)</f>
        <v>38000</v>
      </c>
      <c r="AD656" s="1160"/>
      <c r="AE656" s="1160">
        <f t="shared" ref="AE656:AE660" si="275">(Z656*12)+AC656</f>
        <v>1910390.96</v>
      </c>
      <c r="AF656" s="1136"/>
      <c r="AG656" s="1161">
        <f t="shared" si="254"/>
        <v>183620.40648000082</v>
      </c>
      <c r="AH656" s="1136">
        <v>38</v>
      </c>
      <c r="AI656" s="1160">
        <v>1726770.5535199991</v>
      </c>
    </row>
    <row r="657" spans="1:35" x14ac:dyDescent="0.2">
      <c r="A657" s="1138">
        <v>2</v>
      </c>
      <c r="B657" s="1136">
        <v>4</v>
      </c>
      <c r="C657" s="1160">
        <v>13686.018760000001</v>
      </c>
      <c r="D657" s="1160"/>
      <c r="E657" s="1160"/>
      <c r="F657" s="1160"/>
      <c r="G657" s="1160"/>
      <c r="H657" s="1160"/>
      <c r="I657" s="1160">
        <v>1200</v>
      </c>
      <c r="J657" s="1160">
        <v>5522.88</v>
      </c>
      <c r="K657" s="1160">
        <f t="shared" si="270"/>
        <v>20408.89876</v>
      </c>
      <c r="L657" s="1160">
        <v>4000</v>
      </c>
      <c r="M657" s="1160"/>
      <c r="N657" s="1160">
        <f t="shared" si="271"/>
        <v>4000</v>
      </c>
      <c r="O657" s="1160"/>
      <c r="P657" s="1160">
        <f t="shared" si="272"/>
        <v>248906.78512000002</v>
      </c>
      <c r="Q657" s="1136">
        <v>4</v>
      </c>
      <c r="R657" s="1160">
        <v>14640</v>
      </c>
      <c r="S657" s="1160"/>
      <c r="T657" s="1160"/>
      <c r="U657" s="1160"/>
      <c r="V657" s="1160"/>
      <c r="W657" s="1160"/>
      <c r="X657" s="1160">
        <v>1200</v>
      </c>
      <c r="Y657" s="1160">
        <v>5522.88</v>
      </c>
      <c r="Z657" s="1160">
        <f t="shared" si="273"/>
        <v>21362.880000000001</v>
      </c>
      <c r="AA657" s="1160">
        <v>4000</v>
      </c>
      <c r="AB657" s="1160"/>
      <c r="AC657" s="1160">
        <f t="shared" si="274"/>
        <v>4000</v>
      </c>
      <c r="AD657" s="1160"/>
      <c r="AE657" s="1160">
        <f t="shared" si="275"/>
        <v>260354.56</v>
      </c>
      <c r="AF657" s="1136"/>
      <c r="AG657" s="1161">
        <f t="shared" si="254"/>
        <v>11447.774879999983</v>
      </c>
      <c r="AH657" s="1136">
        <v>4</v>
      </c>
      <c r="AI657" s="1160">
        <v>248906.78512000002</v>
      </c>
    </row>
    <row r="658" spans="1:35" x14ac:dyDescent="0.2">
      <c r="A658" s="1138">
        <v>3</v>
      </c>
      <c r="B658" s="1136">
        <v>2</v>
      </c>
      <c r="C658" s="1160">
        <v>7251.4202599999999</v>
      </c>
      <c r="D658" s="1160"/>
      <c r="E658" s="1160"/>
      <c r="F658" s="1160"/>
      <c r="G658" s="1160"/>
      <c r="H658" s="1160"/>
      <c r="I658" s="1160">
        <v>0</v>
      </c>
      <c r="J658" s="1160">
        <v>1414.96</v>
      </c>
      <c r="K658" s="1160">
        <f t="shared" si="270"/>
        <v>8666.3802599999999</v>
      </c>
      <c r="L658" s="1160">
        <v>2000</v>
      </c>
      <c r="M658" s="1160"/>
      <c r="N658" s="1160">
        <f t="shared" si="271"/>
        <v>2000</v>
      </c>
      <c r="O658" s="1160"/>
      <c r="P658" s="1160">
        <f t="shared" si="272"/>
        <v>105996.56312000001</v>
      </c>
      <c r="Q658" s="1136">
        <v>2</v>
      </c>
      <c r="R658" s="1160">
        <v>7800</v>
      </c>
      <c r="S658" s="1160"/>
      <c r="T658" s="1160"/>
      <c r="U658" s="1160"/>
      <c r="V658" s="1160"/>
      <c r="W658" s="1160"/>
      <c r="X658" s="1160">
        <v>0</v>
      </c>
      <c r="Y658" s="1160">
        <v>1414.96</v>
      </c>
      <c r="Z658" s="1160">
        <f t="shared" si="273"/>
        <v>9214.9599999999991</v>
      </c>
      <c r="AA658" s="1160">
        <v>2000</v>
      </c>
      <c r="AB658" s="1160"/>
      <c r="AC658" s="1160">
        <f t="shared" si="274"/>
        <v>2000</v>
      </c>
      <c r="AD658" s="1160"/>
      <c r="AE658" s="1160">
        <f t="shared" si="275"/>
        <v>112579.51999999999</v>
      </c>
      <c r="AF658" s="1136"/>
      <c r="AG658" s="1161">
        <f t="shared" si="254"/>
        <v>6582.9568799999834</v>
      </c>
      <c r="AH658" s="1136">
        <v>2</v>
      </c>
      <c r="AI658" s="1160">
        <v>105996.56312000001</v>
      </c>
    </row>
    <row r="659" spans="1:35" x14ac:dyDescent="0.2">
      <c r="A659" s="1138">
        <v>4</v>
      </c>
      <c r="B659" s="1136">
        <v>2</v>
      </c>
      <c r="C659" s="1160">
        <v>7699.3959440000008</v>
      </c>
      <c r="D659" s="1160"/>
      <c r="E659" s="1160"/>
      <c r="F659" s="1160"/>
      <c r="G659" s="1160"/>
      <c r="H659" s="1160"/>
      <c r="I659" s="1160">
        <v>300</v>
      </c>
      <c r="J659" s="1160">
        <v>2896.84</v>
      </c>
      <c r="K659" s="1160">
        <f t="shared" si="270"/>
        <v>10896.235944</v>
      </c>
      <c r="L659" s="1160">
        <v>2000</v>
      </c>
      <c r="M659" s="1160"/>
      <c r="N659" s="1160">
        <f t="shared" si="271"/>
        <v>2000</v>
      </c>
      <c r="O659" s="1160"/>
      <c r="P659" s="1160">
        <f t="shared" si="272"/>
        <v>132754.831328</v>
      </c>
      <c r="Q659" s="1136">
        <v>1</v>
      </c>
      <c r="R659" s="1160">
        <v>4158</v>
      </c>
      <c r="S659" s="1160"/>
      <c r="T659" s="1160"/>
      <c r="U659" s="1160"/>
      <c r="V659" s="1160"/>
      <c r="W659" s="1160"/>
      <c r="X659" s="1160">
        <v>300</v>
      </c>
      <c r="Y659" s="1160">
        <v>2896.84</v>
      </c>
      <c r="Z659" s="1160">
        <f t="shared" si="273"/>
        <v>7354.84</v>
      </c>
      <c r="AA659" s="1160">
        <v>2000</v>
      </c>
      <c r="AB659" s="1160"/>
      <c r="AC659" s="1160">
        <f t="shared" si="274"/>
        <v>2000</v>
      </c>
      <c r="AD659" s="1160"/>
      <c r="AE659" s="1160">
        <f t="shared" si="275"/>
        <v>90258.08</v>
      </c>
      <c r="AF659" s="1136"/>
      <c r="AG659" s="1161">
        <f t="shared" si="254"/>
        <v>-42496.751327999998</v>
      </c>
      <c r="AH659" s="1136">
        <v>2</v>
      </c>
      <c r="AI659" s="1160">
        <v>132754.831328</v>
      </c>
    </row>
    <row r="660" spans="1:35" x14ac:dyDescent="0.2">
      <c r="A660" s="1138">
        <v>5</v>
      </c>
      <c r="B660" s="1136">
        <v>18</v>
      </c>
      <c r="C660" s="1160">
        <v>74184.007499999992</v>
      </c>
      <c r="D660" s="1160"/>
      <c r="E660" s="1160"/>
      <c r="F660" s="1160"/>
      <c r="G660" s="1160"/>
      <c r="H660" s="1160"/>
      <c r="I660" s="1160">
        <v>1050</v>
      </c>
      <c r="J660" s="1160">
        <v>11593.96</v>
      </c>
      <c r="K660" s="1160">
        <f t="shared" si="270"/>
        <v>86827.967499999999</v>
      </c>
      <c r="L660" s="1160">
        <v>18000</v>
      </c>
      <c r="M660" s="1160"/>
      <c r="N660" s="1160">
        <f t="shared" si="271"/>
        <v>18000</v>
      </c>
      <c r="O660" s="1160"/>
      <c r="P660" s="1160">
        <f t="shared" si="272"/>
        <v>1059935.6099999999</v>
      </c>
      <c r="Q660" s="1136">
        <v>17</v>
      </c>
      <c r="R660" s="1160">
        <v>76007</v>
      </c>
      <c r="S660" s="1160"/>
      <c r="T660" s="1160"/>
      <c r="U660" s="1160"/>
      <c r="V660" s="1160"/>
      <c r="W660" s="1160"/>
      <c r="X660" s="1160">
        <v>1050</v>
      </c>
      <c r="Y660" s="1160">
        <v>11593.96</v>
      </c>
      <c r="Z660" s="1160">
        <f t="shared" si="273"/>
        <v>88650.959999999992</v>
      </c>
      <c r="AA660" s="1160">
        <v>18000</v>
      </c>
      <c r="AB660" s="1160"/>
      <c r="AC660" s="1160">
        <f t="shared" si="274"/>
        <v>18000</v>
      </c>
      <c r="AD660" s="1160"/>
      <c r="AE660" s="1160">
        <f t="shared" si="275"/>
        <v>1081811.52</v>
      </c>
      <c r="AF660" s="1136"/>
      <c r="AG660" s="1161">
        <f t="shared" si="254"/>
        <v>21875.910000000149</v>
      </c>
      <c r="AH660" s="1136">
        <v>18</v>
      </c>
      <c r="AI660" s="1160">
        <v>1059935.6099999999</v>
      </c>
    </row>
    <row r="661" spans="1:35" x14ac:dyDescent="0.2">
      <c r="A661" s="1164" t="s">
        <v>650</v>
      </c>
      <c r="B661" s="1165">
        <f t="shared" ref="B661:AI661" si="276">SUM(B662:B666)</f>
        <v>12</v>
      </c>
      <c r="C661" s="1166">
        <f t="shared" si="276"/>
        <v>45181.091741999997</v>
      </c>
      <c r="D661" s="1166">
        <f t="shared" si="276"/>
        <v>0</v>
      </c>
      <c r="E661" s="1166">
        <f t="shared" si="276"/>
        <v>0</v>
      </c>
      <c r="F661" s="1166">
        <f t="shared" si="276"/>
        <v>0</v>
      </c>
      <c r="G661" s="1166">
        <f t="shared" si="276"/>
        <v>0</v>
      </c>
      <c r="H661" s="1166">
        <f t="shared" si="276"/>
        <v>0</v>
      </c>
      <c r="I661" s="1166">
        <f t="shared" si="276"/>
        <v>1250</v>
      </c>
      <c r="J661" s="1166">
        <f t="shared" si="276"/>
        <v>0</v>
      </c>
      <c r="K661" s="1166">
        <f t="shared" si="276"/>
        <v>46431.091741999997</v>
      </c>
      <c r="L661" s="1166">
        <f t="shared" si="276"/>
        <v>12000</v>
      </c>
      <c r="M661" s="1166">
        <f t="shared" si="276"/>
        <v>0</v>
      </c>
      <c r="N661" s="1166">
        <f t="shared" si="276"/>
        <v>12000</v>
      </c>
      <c r="O661" s="1166">
        <f t="shared" si="276"/>
        <v>0</v>
      </c>
      <c r="P661" s="1166">
        <f t="shared" si="276"/>
        <v>569173.10090399999</v>
      </c>
      <c r="Q661" s="1165">
        <f t="shared" si="276"/>
        <v>12</v>
      </c>
      <c r="R661" s="1166">
        <f t="shared" si="276"/>
        <v>48816</v>
      </c>
      <c r="S661" s="1166">
        <f t="shared" si="276"/>
        <v>0</v>
      </c>
      <c r="T661" s="1166">
        <f t="shared" si="276"/>
        <v>0</v>
      </c>
      <c r="U661" s="1166">
        <f t="shared" si="276"/>
        <v>0</v>
      </c>
      <c r="V661" s="1166">
        <f t="shared" si="276"/>
        <v>0</v>
      </c>
      <c r="W661" s="1166">
        <f t="shared" si="276"/>
        <v>0</v>
      </c>
      <c r="X661" s="1166">
        <f t="shared" si="276"/>
        <v>1250</v>
      </c>
      <c r="Y661" s="1166">
        <f t="shared" si="276"/>
        <v>0</v>
      </c>
      <c r="Z661" s="1166">
        <f t="shared" si="276"/>
        <v>50066</v>
      </c>
      <c r="AA661" s="1166">
        <f t="shared" si="276"/>
        <v>12000</v>
      </c>
      <c r="AB661" s="1166">
        <f t="shared" si="276"/>
        <v>0</v>
      </c>
      <c r="AC661" s="1166">
        <f t="shared" si="276"/>
        <v>12000</v>
      </c>
      <c r="AD661" s="1166">
        <f t="shared" si="276"/>
        <v>0</v>
      </c>
      <c r="AE661" s="1166">
        <f t="shared" si="276"/>
        <v>612792</v>
      </c>
      <c r="AF661" s="1165">
        <f t="shared" si="276"/>
        <v>0</v>
      </c>
      <c r="AG661" s="1167">
        <f t="shared" si="276"/>
        <v>43618.899096000066</v>
      </c>
      <c r="AH661" s="1165">
        <f t="shared" si="276"/>
        <v>12</v>
      </c>
      <c r="AI661" s="1166">
        <f t="shared" si="276"/>
        <v>569173.10090399999</v>
      </c>
    </row>
    <row r="662" spans="1:35" x14ac:dyDescent="0.2">
      <c r="A662" s="1138" t="s">
        <v>1496</v>
      </c>
      <c r="B662" s="1136">
        <v>3</v>
      </c>
      <c r="C662" s="1160">
        <v>9351.9710100000011</v>
      </c>
      <c r="D662" s="1160"/>
      <c r="E662" s="1160"/>
      <c r="F662" s="1160"/>
      <c r="G662" s="1160"/>
      <c r="H662" s="1160"/>
      <c r="I662" s="1160"/>
      <c r="J662" s="1160"/>
      <c r="K662" s="1160">
        <f t="shared" ref="K662:K666" si="277">SUM(C662:J662)</f>
        <v>9351.9710100000011</v>
      </c>
      <c r="L662" s="1160">
        <v>3000</v>
      </c>
      <c r="M662" s="1160"/>
      <c r="N662" s="1160">
        <f t="shared" ref="N662:N666" si="278">SUM(L662:M662)</f>
        <v>3000</v>
      </c>
      <c r="O662" s="1160"/>
      <c r="P662" s="1160">
        <f t="shared" ref="P662:P666" si="279">(K662*12)+N662</f>
        <v>115223.65212000001</v>
      </c>
      <c r="Q662" s="1136">
        <v>3</v>
      </c>
      <c r="R662" s="1160">
        <v>10032</v>
      </c>
      <c r="S662" s="1160"/>
      <c r="T662" s="1160"/>
      <c r="U662" s="1160"/>
      <c r="V662" s="1160"/>
      <c r="W662" s="1160"/>
      <c r="X662" s="1160"/>
      <c r="Y662" s="1160"/>
      <c r="Z662" s="1160">
        <f t="shared" ref="Z662:Z666" si="280">SUM(R662:Y662)</f>
        <v>10032</v>
      </c>
      <c r="AA662" s="1160">
        <v>3000</v>
      </c>
      <c r="AB662" s="1160"/>
      <c r="AC662" s="1160">
        <f t="shared" ref="AC662:AC666" si="281">SUM(AA662:AB662)</f>
        <v>3000</v>
      </c>
      <c r="AD662" s="1160"/>
      <c r="AE662" s="1160">
        <f t="shared" ref="AE662:AE666" si="282">(Z662*12)+AC662</f>
        <v>123384</v>
      </c>
      <c r="AF662" s="1136"/>
      <c r="AG662" s="1161">
        <f t="shared" si="254"/>
        <v>8160.3478799999866</v>
      </c>
      <c r="AH662" s="1136">
        <v>3</v>
      </c>
      <c r="AI662" s="1160">
        <v>115223.65212000001</v>
      </c>
    </row>
    <row r="663" spans="1:35" x14ac:dyDescent="0.2">
      <c r="A663" s="1138" t="s">
        <v>1495</v>
      </c>
      <c r="B663" s="1136"/>
      <c r="C663" s="1160"/>
      <c r="D663" s="1160"/>
      <c r="E663" s="1160"/>
      <c r="F663" s="1160"/>
      <c r="G663" s="1160"/>
      <c r="H663" s="1160"/>
      <c r="I663" s="1160"/>
      <c r="J663" s="1160"/>
      <c r="K663" s="1160">
        <f t="shared" si="277"/>
        <v>0</v>
      </c>
      <c r="L663" s="1160"/>
      <c r="M663" s="1160"/>
      <c r="N663" s="1160">
        <f t="shared" si="278"/>
        <v>0</v>
      </c>
      <c r="O663" s="1160"/>
      <c r="P663" s="1160">
        <f t="shared" si="279"/>
        <v>0</v>
      </c>
      <c r="Q663" s="1136"/>
      <c r="R663" s="1160"/>
      <c r="S663" s="1160"/>
      <c r="T663" s="1160"/>
      <c r="U663" s="1160"/>
      <c r="V663" s="1160"/>
      <c r="W663" s="1160"/>
      <c r="X663" s="1160"/>
      <c r="Y663" s="1160"/>
      <c r="Z663" s="1160">
        <f t="shared" si="280"/>
        <v>0</v>
      </c>
      <c r="AA663" s="1160"/>
      <c r="AB663" s="1160"/>
      <c r="AC663" s="1160">
        <f t="shared" si="281"/>
        <v>0</v>
      </c>
      <c r="AD663" s="1160"/>
      <c r="AE663" s="1160">
        <f t="shared" si="282"/>
        <v>0</v>
      </c>
      <c r="AF663" s="1136"/>
      <c r="AG663" s="1161">
        <f t="shared" si="254"/>
        <v>0</v>
      </c>
      <c r="AH663" s="1136"/>
      <c r="AI663" s="1160">
        <v>0</v>
      </c>
    </row>
    <row r="664" spans="1:35" x14ac:dyDescent="0.2">
      <c r="A664" s="1138" t="s">
        <v>1494</v>
      </c>
      <c r="B664" s="1136">
        <v>2</v>
      </c>
      <c r="C664" s="1160">
        <v>7251.4202599999999</v>
      </c>
      <c r="D664" s="1160"/>
      <c r="E664" s="1160"/>
      <c r="F664" s="1160"/>
      <c r="G664" s="1160"/>
      <c r="H664" s="1160"/>
      <c r="I664" s="1160"/>
      <c r="J664" s="1160"/>
      <c r="K664" s="1160">
        <f t="shared" si="277"/>
        <v>7251.4202599999999</v>
      </c>
      <c r="L664" s="1160">
        <v>2000</v>
      </c>
      <c r="M664" s="1160"/>
      <c r="N664" s="1160">
        <f t="shared" si="278"/>
        <v>2000</v>
      </c>
      <c r="O664" s="1160"/>
      <c r="P664" s="1160">
        <f t="shared" si="279"/>
        <v>89017.043120000002</v>
      </c>
      <c r="Q664" s="1136">
        <v>2</v>
      </c>
      <c r="R664" s="1160">
        <v>7800</v>
      </c>
      <c r="S664" s="1160"/>
      <c r="T664" s="1160"/>
      <c r="U664" s="1160"/>
      <c r="V664" s="1160"/>
      <c r="W664" s="1160"/>
      <c r="X664" s="1160"/>
      <c r="Y664" s="1160"/>
      <c r="Z664" s="1160">
        <f t="shared" si="280"/>
        <v>7800</v>
      </c>
      <c r="AA664" s="1160">
        <v>2000</v>
      </c>
      <c r="AB664" s="1160"/>
      <c r="AC664" s="1160">
        <f t="shared" si="281"/>
        <v>2000</v>
      </c>
      <c r="AD664" s="1160"/>
      <c r="AE664" s="1160">
        <f t="shared" si="282"/>
        <v>95600</v>
      </c>
      <c r="AF664" s="1136"/>
      <c r="AG664" s="1161">
        <f t="shared" si="254"/>
        <v>6582.9568799999979</v>
      </c>
      <c r="AH664" s="1136">
        <v>2</v>
      </c>
      <c r="AI664" s="1160">
        <v>89017.043120000002</v>
      </c>
    </row>
    <row r="665" spans="1:35" x14ac:dyDescent="0.2">
      <c r="A665" s="1138" t="s">
        <v>1493</v>
      </c>
      <c r="B665" s="1136">
        <v>1</v>
      </c>
      <c r="C665" s="1160">
        <v>3849.6979720000004</v>
      </c>
      <c r="D665" s="1160"/>
      <c r="E665" s="1160"/>
      <c r="F665" s="1160"/>
      <c r="G665" s="1160"/>
      <c r="H665" s="1160"/>
      <c r="I665" s="1160"/>
      <c r="J665" s="1160"/>
      <c r="K665" s="1160">
        <f t="shared" si="277"/>
        <v>3849.6979720000004</v>
      </c>
      <c r="L665" s="1160">
        <v>1000</v>
      </c>
      <c r="M665" s="1160"/>
      <c r="N665" s="1160">
        <f t="shared" si="278"/>
        <v>1000</v>
      </c>
      <c r="O665" s="1160"/>
      <c r="P665" s="1160">
        <f t="shared" si="279"/>
        <v>47196.375664000007</v>
      </c>
      <c r="Q665" s="1136">
        <v>1</v>
      </c>
      <c r="R665" s="1160">
        <v>4158</v>
      </c>
      <c r="S665" s="1160"/>
      <c r="T665" s="1160"/>
      <c r="U665" s="1160"/>
      <c r="V665" s="1160"/>
      <c r="W665" s="1160"/>
      <c r="X665" s="1160"/>
      <c r="Y665" s="1160"/>
      <c r="Z665" s="1160">
        <f t="shared" si="280"/>
        <v>4158</v>
      </c>
      <c r="AA665" s="1160">
        <v>1000</v>
      </c>
      <c r="AB665" s="1160"/>
      <c r="AC665" s="1160">
        <f t="shared" si="281"/>
        <v>1000</v>
      </c>
      <c r="AD665" s="1160"/>
      <c r="AE665" s="1160">
        <f t="shared" si="282"/>
        <v>50896</v>
      </c>
      <c r="AF665" s="1136"/>
      <c r="AG665" s="1161">
        <f t="shared" si="254"/>
        <v>3699.6243359999935</v>
      </c>
      <c r="AH665" s="1136">
        <v>1</v>
      </c>
      <c r="AI665" s="1160">
        <v>47196.375664000007</v>
      </c>
    </row>
    <row r="666" spans="1:35" x14ac:dyDescent="0.2">
      <c r="A666" s="1138" t="s">
        <v>1492</v>
      </c>
      <c r="B666" s="1136">
        <v>6</v>
      </c>
      <c r="C666" s="1160">
        <v>24728.002499999995</v>
      </c>
      <c r="D666" s="1160"/>
      <c r="E666" s="1160"/>
      <c r="F666" s="1160"/>
      <c r="G666" s="1160"/>
      <c r="H666" s="1160"/>
      <c r="I666" s="1160">
        <v>1250</v>
      </c>
      <c r="J666" s="1160"/>
      <c r="K666" s="1160">
        <f t="shared" si="277"/>
        <v>25978.002499999995</v>
      </c>
      <c r="L666" s="1160">
        <v>6000</v>
      </c>
      <c r="M666" s="1160"/>
      <c r="N666" s="1160">
        <f t="shared" si="278"/>
        <v>6000</v>
      </c>
      <c r="O666" s="1160"/>
      <c r="P666" s="1160">
        <f t="shared" si="279"/>
        <v>317736.02999999991</v>
      </c>
      <c r="Q666" s="1136">
        <v>6</v>
      </c>
      <c r="R666" s="1160">
        <v>26826</v>
      </c>
      <c r="S666" s="1160"/>
      <c r="T666" s="1160"/>
      <c r="U666" s="1160"/>
      <c r="V666" s="1160"/>
      <c r="W666" s="1160"/>
      <c r="X666" s="1160">
        <v>1250</v>
      </c>
      <c r="Y666" s="1160"/>
      <c r="Z666" s="1160">
        <f t="shared" si="280"/>
        <v>28076</v>
      </c>
      <c r="AA666" s="1160">
        <v>6000</v>
      </c>
      <c r="AB666" s="1160"/>
      <c r="AC666" s="1160">
        <f t="shared" si="281"/>
        <v>6000</v>
      </c>
      <c r="AD666" s="1160"/>
      <c r="AE666" s="1160">
        <f t="shared" si="282"/>
        <v>342912</v>
      </c>
      <c r="AF666" s="1136"/>
      <c r="AG666" s="1161">
        <f t="shared" si="254"/>
        <v>25175.970000000088</v>
      </c>
      <c r="AH666" s="1136">
        <v>6</v>
      </c>
      <c r="AI666" s="1160">
        <v>317736.02999999991</v>
      </c>
    </row>
    <row r="667" spans="1:35" x14ac:dyDescent="0.2">
      <c r="A667" s="1164" t="s">
        <v>2850</v>
      </c>
      <c r="B667" s="1165">
        <f t="shared" ref="B667:AI667" si="283">SUM(B668:B675)</f>
        <v>50</v>
      </c>
      <c r="C667" s="1166">
        <f t="shared" si="283"/>
        <v>174277.00562800001</v>
      </c>
      <c r="D667" s="1166">
        <f t="shared" si="283"/>
        <v>0</v>
      </c>
      <c r="E667" s="1166">
        <f t="shared" si="283"/>
        <v>0</v>
      </c>
      <c r="F667" s="1166">
        <f t="shared" si="283"/>
        <v>0</v>
      </c>
      <c r="G667" s="1166">
        <f t="shared" si="283"/>
        <v>0</v>
      </c>
      <c r="H667" s="1166">
        <f t="shared" si="283"/>
        <v>0</v>
      </c>
      <c r="I667" s="1166">
        <f t="shared" si="283"/>
        <v>6450</v>
      </c>
      <c r="J667" s="1166">
        <f t="shared" si="283"/>
        <v>20070.650000000001</v>
      </c>
      <c r="K667" s="1166">
        <f t="shared" si="283"/>
        <v>200797.65562800004</v>
      </c>
      <c r="L667" s="1166">
        <f t="shared" si="283"/>
        <v>50000</v>
      </c>
      <c r="M667" s="1166">
        <f t="shared" si="283"/>
        <v>0</v>
      </c>
      <c r="N667" s="1166">
        <f t="shared" si="283"/>
        <v>50000</v>
      </c>
      <c r="O667" s="1166">
        <f t="shared" si="283"/>
        <v>0</v>
      </c>
      <c r="P667" s="1166">
        <f t="shared" si="283"/>
        <v>2459571.867536</v>
      </c>
      <c r="Q667" s="1165">
        <f t="shared" si="283"/>
        <v>50</v>
      </c>
      <c r="R667" s="1166">
        <f t="shared" si="283"/>
        <v>185426</v>
      </c>
      <c r="S667" s="1166">
        <f t="shared" si="283"/>
        <v>0</v>
      </c>
      <c r="T667" s="1166">
        <f t="shared" si="283"/>
        <v>0</v>
      </c>
      <c r="U667" s="1166">
        <f t="shared" si="283"/>
        <v>0</v>
      </c>
      <c r="V667" s="1166">
        <f t="shared" si="283"/>
        <v>0</v>
      </c>
      <c r="W667" s="1166">
        <f t="shared" si="283"/>
        <v>0</v>
      </c>
      <c r="X667" s="1166">
        <f t="shared" si="283"/>
        <v>6450</v>
      </c>
      <c r="Y667" s="1166">
        <f t="shared" si="283"/>
        <v>20070.650000000001</v>
      </c>
      <c r="Z667" s="1166">
        <f t="shared" si="283"/>
        <v>211946.65</v>
      </c>
      <c r="AA667" s="1166">
        <f t="shared" si="283"/>
        <v>50000</v>
      </c>
      <c r="AB667" s="1166">
        <f t="shared" si="283"/>
        <v>0</v>
      </c>
      <c r="AC667" s="1166">
        <f t="shared" si="283"/>
        <v>50000</v>
      </c>
      <c r="AD667" s="1166">
        <f t="shared" si="283"/>
        <v>0</v>
      </c>
      <c r="AE667" s="1166">
        <f t="shared" si="283"/>
        <v>2593359.7999999998</v>
      </c>
      <c r="AF667" s="1165">
        <f t="shared" si="283"/>
        <v>0</v>
      </c>
      <c r="AG667" s="1167">
        <f t="shared" si="283"/>
        <v>133787.93246399966</v>
      </c>
      <c r="AH667" s="1165">
        <f t="shared" si="283"/>
        <v>50</v>
      </c>
      <c r="AI667" s="1166">
        <f t="shared" si="283"/>
        <v>2459571.867536</v>
      </c>
    </row>
    <row r="668" spans="1:35" x14ac:dyDescent="0.2">
      <c r="A668" s="1138" t="s">
        <v>1499</v>
      </c>
      <c r="B668" s="1136"/>
      <c r="C668" s="1160"/>
      <c r="D668" s="1160"/>
      <c r="E668" s="1160"/>
      <c r="F668" s="1160"/>
      <c r="G668" s="1160"/>
      <c r="H668" s="1160"/>
      <c r="I668" s="1160"/>
      <c r="J668" s="1160"/>
      <c r="K668" s="1160">
        <f t="shared" ref="K668:K675" si="284">SUM(C668:J668)</f>
        <v>0</v>
      </c>
      <c r="L668" s="1160"/>
      <c r="M668" s="1160"/>
      <c r="N668" s="1160">
        <f t="shared" ref="N668:N675" si="285">SUM(L668:M668)</f>
        <v>0</v>
      </c>
      <c r="O668" s="1160"/>
      <c r="P668" s="1160">
        <f t="shared" ref="P668:P673" si="286">(K668*12)+N668</f>
        <v>0</v>
      </c>
      <c r="Q668" s="1136"/>
      <c r="R668" s="1160"/>
      <c r="S668" s="1160"/>
      <c r="T668" s="1160"/>
      <c r="U668" s="1160"/>
      <c r="V668" s="1160"/>
      <c r="W668" s="1160"/>
      <c r="X668" s="1160"/>
      <c r="Y668" s="1160"/>
      <c r="Z668" s="1160">
        <f t="shared" ref="Z668:Z675" si="287">SUM(R668:Y668)</f>
        <v>0</v>
      </c>
      <c r="AA668" s="1160"/>
      <c r="AB668" s="1160"/>
      <c r="AC668" s="1160">
        <f t="shared" ref="AC668:AC675" si="288">SUM(AA668:AB668)</f>
        <v>0</v>
      </c>
      <c r="AD668" s="1160"/>
      <c r="AE668" s="1160">
        <f t="shared" ref="AE668:AE673" si="289">(Z668*12)+AC668</f>
        <v>0</v>
      </c>
      <c r="AF668" s="1136"/>
      <c r="AG668" s="1161">
        <f>+AE668-P668</f>
        <v>0</v>
      </c>
      <c r="AH668" s="1136"/>
      <c r="AI668" s="1160">
        <v>0</v>
      </c>
    </row>
    <row r="669" spans="1:35" x14ac:dyDescent="0.2">
      <c r="A669" s="1138" t="s">
        <v>1498</v>
      </c>
      <c r="B669" s="1136"/>
      <c r="C669" s="1160"/>
      <c r="D669" s="1160"/>
      <c r="E669" s="1160"/>
      <c r="F669" s="1160"/>
      <c r="G669" s="1160"/>
      <c r="H669" s="1160"/>
      <c r="I669" s="1160"/>
      <c r="J669" s="1160"/>
      <c r="K669" s="1160">
        <f t="shared" si="284"/>
        <v>0</v>
      </c>
      <c r="L669" s="1160"/>
      <c r="M669" s="1160"/>
      <c r="N669" s="1160">
        <f t="shared" si="285"/>
        <v>0</v>
      </c>
      <c r="O669" s="1160"/>
      <c r="P669" s="1160">
        <f t="shared" si="286"/>
        <v>0</v>
      </c>
      <c r="Q669" s="1136"/>
      <c r="R669" s="1160"/>
      <c r="S669" s="1160"/>
      <c r="T669" s="1160"/>
      <c r="U669" s="1160"/>
      <c r="V669" s="1160"/>
      <c r="W669" s="1160"/>
      <c r="X669" s="1160"/>
      <c r="Y669" s="1160"/>
      <c r="Z669" s="1160">
        <f t="shared" si="287"/>
        <v>0</v>
      </c>
      <c r="AA669" s="1160"/>
      <c r="AB669" s="1160"/>
      <c r="AC669" s="1160">
        <f t="shared" si="288"/>
        <v>0</v>
      </c>
      <c r="AD669" s="1160"/>
      <c r="AE669" s="1160">
        <f t="shared" si="289"/>
        <v>0</v>
      </c>
      <c r="AF669" s="1136"/>
      <c r="AG669" s="1161">
        <f t="shared" si="254"/>
        <v>0</v>
      </c>
      <c r="AH669" s="1136"/>
      <c r="AI669" s="1160">
        <v>0</v>
      </c>
    </row>
    <row r="670" spans="1:35" x14ac:dyDescent="0.2">
      <c r="A670" s="1138" t="s">
        <v>1497</v>
      </c>
      <c r="B670" s="1136">
        <v>1</v>
      </c>
      <c r="C670" s="1160">
        <v>2298.1620560000001</v>
      </c>
      <c r="D670" s="1160"/>
      <c r="E670" s="1160"/>
      <c r="F670" s="1160"/>
      <c r="G670" s="1160"/>
      <c r="H670" s="1160"/>
      <c r="I670" s="1160"/>
      <c r="J670" s="1160">
        <v>0</v>
      </c>
      <c r="K670" s="1160">
        <f t="shared" si="284"/>
        <v>2298.1620560000001</v>
      </c>
      <c r="L670" s="1160">
        <v>1000</v>
      </c>
      <c r="M670" s="1160"/>
      <c r="N670" s="1160">
        <f t="shared" si="285"/>
        <v>1000</v>
      </c>
      <c r="O670" s="1160"/>
      <c r="P670" s="1160">
        <f t="shared" si="286"/>
        <v>28577.944672000001</v>
      </c>
      <c r="Q670" s="1136">
        <v>1</v>
      </c>
      <c r="R670" s="1160">
        <v>2278</v>
      </c>
      <c r="S670" s="1160"/>
      <c r="T670" s="1160"/>
      <c r="U670" s="1160"/>
      <c r="V670" s="1160"/>
      <c r="W670" s="1160"/>
      <c r="X670" s="1160"/>
      <c r="Y670" s="1160">
        <v>0</v>
      </c>
      <c r="Z670" s="1160">
        <f t="shared" si="287"/>
        <v>2278</v>
      </c>
      <c r="AA670" s="1160">
        <v>1000</v>
      </c>
      <c r="AB670" s="1160"/>
      <c r="AC670" s="1160">
        <f t="shared" si="288"/>
        <v>1000</v>
      </c>
      <c r="AD670" s="1160"/>
      <c r="AE670" s="1160">
        <f t="shared" si="289"/>
        <v>28336</v>
      </c>
      <c r="AF670" s="1136"/>
      <c r="AG670" s="1161">
        <f t="shared" si="254"/>
        <v>-241.94467200000145</v>
      </c>
      <c r="AH670" s="1136">
        <v>1</v>
      </c>
      <c r="AI670" s="1160">
        <v>28577.944672000001</v>
      </c>
    </row>
    <row r="671" spans="1:35" x14ac:dyDescent="0.2">
      <c r="A671" s="1138" t="s">
        <v>1496</v>
      </c>
      <c r="B671" s="1136">
        <v>18</v>
      </c>
      <c r="C671" s="1160">
        <v>56111.826059999992</v>
      </c>
      <c r="D671" s="1160"/>
      <c r="E671" s="1160"/>
      <c r="F671" s="1160"/>
      <c r="G671" s="1160"/>
      <c r="H671" s="1160"/>
      <c r="I671" s="1160">
        <v>2000</v>
      </c>
      <c r="J671" s="1160">
        <v>3115.4</v>
      </c>
      <c r="K671" s="1160">
        <f t="shared" si="284"/>
        <v>61227.226059999994</v>
      </c>
      <c r="L671" s="1160">
        <v>18000</v>
      </c>
      <c r="M671" s="1160"/>
      <c r="N671" s="1160">
        <f t="shared" si="285"/>
        <v>18000</v>
      </c>
      <c r="O671" s="1160"/>
      <c r="P671" s="1160">
        <f t="shared" si="286"/>
        <v>752726.71271999995</v>
      </c>
      <c r="Q671" s="1136">
        <v>20</v>
      </c>
      <c r="R671" s="1160">
        <v>66880</v>
      </c>
      <c r="S671" s="1160"/>
      <c r="T671" s="1160"/>
      <c r="U671" s="1160"/>
      <c r="V671" s="1160"/>
      <c r="W671" s="1160"/>
      <c r="X671" s="1160">
        <v>2000</v>
      </c>
      <c r="Y671" s="1160">
        <v>3115.4</v>
      </c>
      <c r="Z671" s="1160">
        <f t="shared" si="287"/>
        <v>71995.399999999994</v>
      </c>
      <c r="AA671" s="1160">
        <v>18000</v>
      </c>
      <c r="AB671" s="1160"/>
      <c r="AC671" s="1160">
        <f t="shared" si="288"/>
        <v>18000</v>
      </c>
      <c r="AD671" s="1160"/>
      <c r="AE671" s="1160">
        <f t="shared" si="289"/>
        <v>881944.79999999993</v>
      </c>
      <c r="AF671" s="1136"/>
      <c r="AG671" s="1161">
        <f t="shared" si="254"/>
        <v>129218.08727999998</v>
      </c>
      <c r="AH671" s="1136">
        <v>18</v>
      </c>
      <c r="AI671" s="1160">
        <v>752726.71271999995</v>
      </c>
    </row>
    <row r="672" spans="1:35" x14ac:dyDescent="0.2">
      <c r="A672" s="1138" t="s">
        <v>1495</v>
      </c>
      <c r="B672" s="1136">
        <v>8</v>
      </c>
      <c r="C672" s="1160">
        <v>21843.600660000004</v>
      </c>
      <c r="D672" s="1160"/>
      <c r="E672" s="1160"/>
      <c r="F672" s="1160"/>
      <c r="G672" s="1160"/>
      <c r="H672" s="1160"/>
      <c r="I672" s="1160">
        <v>600</v>
      </c>
      <c r="J672" s="1160">
        <v>3938.2699999999995</v>
      </c>
      <c r="K672" s="1160">
        <f t="shared" si="284"/>
        <v>26381.870660000004</v>
      </c>
      <c r="L672" s="1160">
        <v>8000</v>
      </c>
      <c r="M672" s="1160"/>
      <c r="N672" s="1160">
        <f t="shared" si="285"/>
        <v>8000</v>
      </c>
      <c r="O672" s="1160"/>
      <c r="P672" s="1160">
        <f t="shared" si="286"/>
        <v>324582.44792000006</v>
      </c>
      <c r="Q672" s="1136">
        <v>7</v>
      </c>
      <c r="R672" s="1160">
        <v>18790</v>
      </c>
      <c r="S672" s="1160"/>
      <c r="T672" s="1160"/>
      <c r="U672" s="1160"/>
      <c r="V672" s="1160"/>
      <c r="W672" s="1160"/>
      <c r="X672" s="1160">
        <v>600</v>
      </c>
      <c r="Y672" s="1160">
        <v>3938.2699999999995</v>
      </c>
      <c r="Z672" s="1160">
        <f t="shared" si="287"/>
        <v>23328.27</v>
      </c>
      <c r="AA672" s="1160">
        <v>8000</v>
      </c>
      <c r="AB672" s="1160"/>
      <c r="AC672" s="1160">
        <f t="shared" si="288"/>
        <v>8000</v>
      </c>
      <c r="AD672" s="1160"/>
      <c r="AE672" s="1160">
        <f t="shared" si="289"/>
        <v>287939.24</v>
      </c>
      <c r="AF672" s="1136"/>
      <c r="AG672" s="1161">
        <f t="shared" si="254"/>
        <v>-36643.207920000073</v>
      </c>
      <c r="AH672" s="1136">
        <v>8</v>
      </c>
      <c r="AI672" s="1160">
        <v>324582.44792000006</v>
      </c>
    </row>
    <row r="673" spans="1:35" x14ac:dyDescent="0.2">
      <c r="A673" s="1138" t="s">
        <v>1494</v>
      </c>
      <c r="B673" s="1136">
        <v>1</v>
      </c>
      <c r="C673" s="1160">
        <v>3625.7101299999999</v>
      </c>
      <c r="D673" s="1160"/>
      <c r="E673" s="1160"/>
      <c r="F673" s="1160"/>
      <c r="G673" s="1160"/>
      <c r="H673" s="1160"/>
      <c r="I673" s="1160"/>
      <c r="J673" s="1160">
        <v>524.37</v>
      </c>
      <c r="K673" s="1160">
        <f t="shared" si="284"/>
        <v>4150.0801300000003</v>
      </c>
      <c r="L673" s="1160">
        <v>1000</v>
      </c>
      <c r="M673" s="1160"/>
      <c r="N673" s="1160">
        <f t="shared" si="285"/>
        <v>1000</v>
      </c>
      <c r="O673" s="1160"/>
      <c r="P673" s="1160">
        <f t="shared" si="286"/>
        <v>50800.961560000003</v>
      </c>
      <c r="Q673" s="1136">
        <v>1</v>
      </c>
      <c r="R673" s="1160">
        <v>3900</v>
      </c>
      <c r="S673" s="1160"/>
      <c r="T673" s="1160"/>
      <c r="U673" s="1160"/>
      <c r="V673" s="1160"/>
      <c r="W673" s="1160"/>
      <c r="X673" s="1160"/>
      <c r="Y673" s="1160">
        <v>524.37</v>
      </c>
      <c r="Z673" s="1160">
        <f t="shared" si="287"/>
        <v>4424.37</v>
      </c>
      <c r="AA673" s="1160">
        <v>1000</v>
      </c>
      <c r="AB673" s="1160"/>
      <c r="AC673" s="1160">
        <f t="shared" si="288"/>
        <v>1000</v>
      </c>
      <c r="AD673" s="1160"/>
      <c r="AE673" s="1160">
        <f t="shared" si="289"/>
        <v>54092.44</v>
      </c>
      <c r="AF673" s="1136"/>
      <c r="AG673" s="1161">
        <f t="shared" si="254"/>
        <v>3291.478439999999</v>
      </c>
      <c r="AH673" s="1136">
        <v>1</v>
      </c>
      <c r="AI673" s="1160">
        <v>50800.961560000003</v>
      </c>
    </row>
    <row r="674" spans="1:35" x14ac:dyDescent="0.2">
      <c r="A674" s="1138" t="s">
        <v>1493</v>
      </c>
      <c r="B674" s="1136">
        <v>1</v>
      </c>
      <c r="C674" s="1160">
        <v>3849.6979720000004</v>
      </c>
      <c r="D674" s="1160"/>
      <c r="E674" s="1160"/>
      <c r="F674" s="1160"/>
      <c r="G674" s="1160"/>
      <c r="H674" s="1160"/>
      <c r="I674" s="1160"/>
      <c r="J674" s="1160">
        <v>493.54</v>
      </c>
      <c r="K674" s="1160">
        <f t="shared" si="284"/>
        <v>4343.2379720000008</v>
      </c>
      <c r="L674" s="1160">
        <v>1000</v>
      </c>
      <c r="M674" s="1160"/>
      <c r="N674" s="1160">
        <f t="shared" si="285"/>
        <v>1000</v>
      </c>
      <c r="O674" s="1160"/>
      <c r="P674" s="1160">
        <f>(K674*12)+N674</f>
        <v>53118.85566400001</v>
      </c>
      <c r="Q674" s="1136">
        <v>1</v>
      </c>
      <c r="R674" s="1160">
        <v>4158</v>
      </c>
      <c r="S674" s="1160"/>
      <c r="T674" s="1160"/>
      <c r="U674" s="1160"/>
      <c r="V674" s="1160"/>
      <c r="W674" s="1160"/>
      <c r="X674" s="1160"/>
      <c r="Y674" s="1160">
        <v>493.54</v>
      </c>
      <c r="Z674" s="1160">
        <f t="shared" si="287"/>
        <v>4651.54</v>
      </c>
      <c r="AA674" s="1160">
        <v>1000</v>
      </c>
      <c r="AB674" s="1160"/>
      <c r="AC674" s="1160">
        <f t="shared" si="288"/>
        <v>1000</v>
      </c>
      <c r="AD674" s="1160"/>
      <c r="AE674" s="1160">
        <f>(Z674*12)+AC674</f>
        <v>56818.479999999996</v>
      </c>
      <c r="AF674" s="1136"/>
      <c r="AG674" s="1161">
        <f t="shared" si="254"/>
        <v>3699.6243359999862</v>
      </c>
      <c r="AH674" s="1136">
        <v>1</v>
      </c>
      <c r="AI674" s="1160">
        <v>53118.85566400001</v>
      </c>
    </row>
    <row r="675" spans="1:35" x14ac:dyDescent="0.2">
      <c r="A675" s="1138" t="s">
        <v>1492</v>
      </c>
      <c r="B675" s="1136">
        <v>21</v>
      </c>
      <c r="C675" s="1160">
        <v>86548.008750000008</v>
      </c>
      <c r="D675" s="1160"/>
      <c r="E675" s="1160"/>
      <c r="F675" s="1160"/>
      <c r="G675" s="1160"/>
      <c r="H675" s="1160"/>
      <c r="I675" s="1160">
        <v>3850</v>
      </c>
      <c r="J675" s="1160">
        <v>11999.07</v>
      </c>
      <c r="K675" s="1160">
        <f t="shared" si="284"/>
        <v>102397.07875000002</v>
      </c>
      <c r="L675" s="1160">
        <v>21000</v>
      </c>
      <c r="M675" s="1160"/>
      <c r="N675" s="1160">
        <f t="shared" si="285"/>
        <v>21000</v>
      </c>
      <c r="O675" s="1160"/>
      <c r="P675" s="1160">
        <f t="shared" ref="P675" si="290">(K675*12)+N675</f>
        <v>1249764.9450000003</v>
      </c>
      <c r="Q675" s="1136">
        <v>20</v>
      </c>
      <c r="R675" s="1160">
        <v>89420</v>
      </c>
      <c r="S675" s="1160"/>
      <c r="T675" s="1160"/>
      <c r="U675" s="1160"/>
      <c r="V675" s="1160"/>
      <c r="W675" s="1160"/>
      <c r="X675" s="1160">
        <v>3850</v>
      </c>
      <c r="Y675" s="1160">
        <v>11999.07</v>
      </c>
      <c r="Z675" s="1160">
        <f t="shared" si="287"/>
        <v>105269.07</v>
      </c>
      <c r="AA675" s="1160">
        <v>21000</v>
      </c>
      <c r="AB675" s="1160"/>
      <c r="AC675" s="1160">
        <f t="shared" si="288"/>
        <v>21000</v>
      </c>
      <c r="AD675" s="1160"/>
      <c r="AE675" s="1160">
        <f t="shared" ref="AE675" si="291">(Z675*12)+AC675</f>
        <v>1284228.8400000001</v>
      </c>
      <c r="AF675" s="1136"/>
      <c r="AG675" s="1161">
        <f t="shared" si="254"/>
        <v>34463.894999999786</v>
      </c>
      <c r="AH675" s="1136">
        <v>21</v>
      </c>
      <c r="AI675" s="1160">
        <v>1249764.9450000003</v>
      </c>
    </row>
    <row r="676" spans="1:35" x14ac:dyDescent="0.2">
      <c r="A676" s="1180" t="s">
        <v>2871</v>
      </c>
      <c r="B676" s="1181">
        <f t="shared" ref="B676:AI676" si="292">+B591+B600+B607+B614+B621+B631+B637+B643+B649+B655+B661+B667</f>
        <v>1791</v>
      </c>
      <c r="C676" s="1182">
        <f t="shared" si="292"/>
        <v>5607663.7094479976</v>
      </c>
      <c r="D676" s="1182">
        <f t="shared" si="292"/>
        <v>387301.27000000019</v>
      </c>
      <c r="E676" s="1182">
        <f t="shared" si="292"/>
        <v>0</v>
      </c>
      <c r="F676" s="1182">
        <f t="shared" si="292"/>
        <v>0</v>
      </c>
      <c r="G676" s="1182">
        <f t="shared" si="292"/>
        <v>0</v>
      </c>
      <c r="H676" s="1182">
        <f t="shared" si="292"/>
        <v>0</v>
      </c>
      <c r="I676" s="1182">
        <f t="shared" si="292"/>
        <v>435600</v>
      </c>
      <c r="J676" s="1182">
        <f t="shared" si="292"/>
        <v>753875.43000000028</v>
      </c>
      <c r="K676" s="1182">
        <f t="shared" si="292"/>
        <v>7184440.4094479987</v>
      </c>
      <c r="L676" s="1182">
        <f t="shared" si="292"/>
        <v>1791000</v>
      </c>
      <c r="M676" s="1182">
        <f t="shared" si="292"/>
        <v>0</v>
      </c>
      <c r="N676" s="1182">
        <f t="shared" si="292"/>
        <v>1791000</v>
      </c>
      <c r="O676" s="1182">
        <f t="shared" si="292"/>
        <v>0</v>
      </c>
      <c r="P676" s="1182">
        <f t="shared" si="292"/>
        <v>88004284.913375974</v>
      </c>
      <c r="Q676" s="1181">
        <f t="shared" si="292"/>
        <v>1791</v>
      </c>
      <c r="R676" s="1182">
        <f t="shared" si="292"/>
        <v>5592860.0700000003</v>
      </c>
      <c r="S676" s="1182">
        <f t="shared" si="292"/>
        <v>439691.14000000025</v>
      </c>
      <c r="T676" s="1182">
        <f t="shared" si="292"/>
        <v>0</v>
      </c>
      <c r="U676" s="1182">
        <f t="shared" si="292"/>
        <v>0</v>
      </c>
      <c r="V676" s="1182">
        <f t="shared" si="292"/>
        <v>0</v>
      </c>
      <c r="W676" s="1182">
        <f t="shared" si="292"/>
        <v>0</v>
      </c>
      <c r="X676" s="1182">
        <f t="shared" si="292"/>
        <v>435600</v>
      </c>
      <c r="Y676" s="1182">
        <f t="shared" si="292"/>
        <v>753875.43000000028</v>
      </c>
      <c r="Z676" s="1182">
        <f t="shared" si="292"/>
        <v>7222026.6400000006</v>
      </c>
      <c r="AA676" s="1182">
        <f t="shared" si="292"/>
        <v>1791000</v>
      </c>
      <c r="AB676" s="1182">
        <f t="shared" si="292"/>
        <v>0</v>
      </c>
      <c r="AC676" s="1182">
        <f t="shared" si="292"/>
        <v>1791000</v>
      </c>
      <c r="AD676" s="1182">
        <f t="shared" si="292"/>
        <v>0</v>
      </c>
      <c r="AE676" s="1182">
        <f t="shared" si="292"/>
        <v>88455319.679999992</v>
      </c>
      <c r="AF676" s="1181">
        <f t="shared" si="292"/>
        <v>0</v>
      </c>
      <c r="AG676" s="1183">
        <f t="shared" si="292"/>
        <v>451034.76662403223</v>
      </c>
      <c r="AH676" s="1181">
        <f t="shared" si="292"/>
        <v>1791</v>
      </c>
      <c r="AI676" s="1182">
        <f t="shared" si="292"/>
        <v>88004284.913375974</v>
      </c>
    </row>
    <row r="679" spans="1:35" x14ac:dyDescent="0.2">
      <c r="A679" s="148" t="s">
        <v>439</v>
      </c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  <c r="Y679" s="151"/>
      <c r="Z679" s="151"/>
      <c r="AA679" s="151"/>
      <c r="AB679" s="151"/>
      <c r="AC679" s="151"/>
      <c r="AD679" s="151"/>
      <c r="AE679" s="151"/>
      <c r="AF679" s="151"/>
      <c r="AG679" s="151"/>
      <c r="AH679" s="151"/>
      <c r="AI679" s="151"/>
    </row>
    <row r="680" spans="1:35" x14ac:dyDescent="0.2">
      <c r="A680" s="490" t="s">
        <v>2282</v>
      </c>
      <c r="B680" s="149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  <c r="AA680" s="149"/>
      <c r="AB680" s="149"/>
      <c r="AC680" s="149"/>
      <c r="AD680" s="149"/>
      <c r="AE680" s="151"/>
      <c r="AF680" s="151"/>
      <c r="AG680" s="151"/>
      <c r="AH680" s="151"/>
      <c r="AI680" s="151"/>
    </row>
    <row r="681" spans="1:35" ht="12.75" thickBot="1" x14ac:dyDescent="0.25">
      <c r="A681" s="490" t="s">
        <v>4111</v>
      </c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</row>
    <row r="682" spans="1:35" ht="12.75" thickBot="1" x14ac:dyDescent="0.25">
      <c r="A682" s="1467" t="s">
        <v>50</v>
      </c>
      <c r="B682" s="1489" t="s">
        <v>351</v>
      </c>
      <c r="C682" s="1489"/>
      <c r="D682" s="1489"/>
      <c r="E682" s="1489"/>
      <c r="F682" s="1489"/>
      <c r="G682" s="1489"/>
      <c r="H682" s="1489"/>
      <c r="I682" s="1489"/>
      <c r="J682" s="1489"/>
      <c r="K682" s="1489"/>
      <c r="L682" s="1489"/>
      <c r="M682" s="1489"/>
      <c r="N682" s="1489"/>
      <c r="O682" s="1489"/>
      <c r="P682" s="1489"/>
      <c r="Q682" s="1490" t="s">
        <v>440</v>
      </c>
      <c r="R682" s="1489"/>
      <c r="S682" s="1489"/>
      <c r="T682" s="1489"/>
      <c r="U682" s="1489"/>
      <c r="V682" s="1489"/>
      <c r="W682" s="1489"/>
      <c r="X682" s="1489"/>
      <c r="Y682" s="1489"/>
      <c r="Z682" s="1489"/>
      <c r="AA682" s="1489"/>
      <c r="AB682" s="1489"/>
      <c r="AC682" s="1489"/>
      <c r="AD682" s="1489"/>
      <c r="AE682" s="1491"/>
      <c r="AF682" s="1485" t="s">
        <v>442</v>
      </c>
      <c r="AG682" s="1486"/>
      <c r="AH682" s="1485" t="s">
        <v>441</v>
      </c>
      <c r="AI682" s="1486"/>
    </row>
    <row r="683" spans="1:35" ht="140.25" x14ac:dyDescent="0.2">
      <c r="A683" s="1487"/>
      <c r="B683" s="245" t="s">
        <v>11</v>
      </c>
      <c r="C683" s="246" t="s">
        <v>153</v>
      </c>
      <c r="D683" s="247" t="s">
        <v>279</v>
      </c>
      <c r="E683" s="247" t="s">
        <v>155</v>
      </c>
      <c r="F683" s="247" t="s">
        <v>190</v>
      </c>
      <c r="G683" s="247" t="s">
        <v>191</v>
      </c>
      <c r="H683" s="247" t="s">
        <v>192</v>
      </c>
      <c r="I683" s="247" t="s">
        <v>193</v>
      </c>
      <c r="J683" s="247" t="s">
        <v>156</v>
      </c>
      <c r="K683" s="247" t="s">
        <v>157</v>
      </c>
      <c r="L683" s="247" t="s">
        <v>158</v>
      </c>
      <c r="M683" s="247" t="s">
        <v>189</v>
      </c>
      <c r="N683" s="248" t="s">
        <v>125</v>
      </c>
      <c r="O683" s="249" t="s">
        <v>163</v>
      </c>
      <c r="P683" s="250" t="s">
        <v>162</v>
      </c>
      <c r="Q683" s="245" t="s">
        <v>11</v>
      </c>
      <c r="R683" s="246" t="s">
        <v>153</v>
      </c>
      <c r="S683" s="247" t="s">
        <v>154</v>
      </c>
      <c r="T683" s="247" t="s">
        <v>155</v>
      </c>
      <c r="U683" s="247" t="s">
        <v>190</v>
      </c>
      <c r="V683" s="247" t="s">
        <v>191</v>
      </c>
      <c r="W683" s="247" t="s">
        <v>192</v>
      </c>
      <c r="X683" s="247" t="s">
        <v>193</v>
      </c>
      <c r="Y683" s="247" t="s">
        <v>156</v>
      </c>
      <c r="Z683" s="247" t="s">
        <v>157</v>
      </c>
      <c r="AA683" s="247" t="s">
        <v>158</v>
      </c>
      <c r="AB683" s="247" t="s">
        <v>189</v>
      </c>
      <c r="AC683" s="248" t="s">
        <v>125</v>
      </c>
      <c r="AD683" s="249" t="s">
        <v>163</v>
      </c>
      <c r="AE683" s="250" t="s">
        <v>352</v>
      </c>
      <c r="AF683" s="251" t="s">
        <v>167</v>
      </c>
      <c r="AG683" s="251" t="s">
        <v>166</v>
      </c>
      <c r="AH683" s="251" t="s">
        <v>11</v>
      </c>
      <c r="AI683" s="250" t="s">
        <v>353</v>
      </c>
    </row>
    <row r="684" spans="1:35" ht="12.75" thickBot="1" x14ac:dyDescent="0.25">
      <c r="A684" s="1488"/>
      <c r="B684" s="252" t="s">
        <v>51</v>
      </c>
      <c r="C684" s="253" t="s">
        <v>52</v>
      </c>
      <c r="D684" s="254" t="s">
        <v>53</v>
      </c>
      <c r="E684" s="254" t="s">
        <v>54</v>
      </c>
      <c r="F684" s="255" t="s">
        <v>55</v>
      </c>
      <c r="G684" s="255" t="s">
        <v>56</v>
      </c>
      <c r="H684" s="255" t="s">
        <v>86</v>
      </c>
      <c r="I684" s="255" t="s">
        <v>124</v>
      </c>
      <c r="J684" s="255" t="s">
        <v>161</v>
      </c>
      <c r="K684" s="255" t="s">
        <v>165</v>
      </c>
      <c r="L684" s="255" t="s">
        <v>198</v>
      </c>
      <c r="M684" s="255" t="s">
        <v>199</v>
      </c>
      <c r="N684" s="256" t="s">
        <v>201</v>
      </c>
      <c r="O684" s="257" t="s">
        <v>202</v>
      </c>
      <c r="P684" s="258" t="s">
        <v>203</v>
      </c>
      <c r="Q684" s="252" t="s">
        <v>51</v>
      </c>
      <c r="R684" s="253" t="s">
        <v>52</v>
      </c>
      <c r="S684" s="254" t="s">
        <v>53</v>
      </c>
      <c r="T684" s="254" t="s">
        <v>54</v>
      </c>
      <c r="U684" s="255" t="s">
        <v>55</v>
      </c>
      <c r="V684" s="255" t="s">
        <v>56</v>
      </c>
      <c r="W684" s="255" t="s">
        <v>86</v>
      </c>
      <c r="X684" s="255" t="s">
        <v>124</v>
      </c>
      <c r="Y684" s="255" t="s">
        <v>161</v>
      </c>
      <c r="Z684" s="255" t="s">
        <v>165</v>
      </c>
      <c r="AA684" s="255" t="s">
        <v>198</v>
      </c>
      <c r="AB684" s="255" t="s">
        <v>199</v>
      </c>
      <c r="AC684" s="256" t="s">
        <v>201</v>
      </c>
      <c r="AD684" s="257" t="s">
        <v>202</v>
      </c>
      <c r="AE684" s="258" t="s">
        <v>203</v>
      </c>
      <c r="AF684" s="259"/>
      <c r="AG684" s="252"/>
      <c r="AH684" s="259"/>
      <c r="AI684" s="252"/>
    </row>
    <row r="685" spans="1:35" x14ac:dyDescent="0.2">
      <c r="A685" s="55"/>
      <c r="B685" s="16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62"/>
      <c r="O685" s="62"/>
      <c r="P685" s="17"/>
      <c r="Q685" s="16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62"/>
      <c r="AD685" s="62"/>
      <c r="AE685" s="17"/>
      <c r="AF685" s="17"/>
      <c r="AG685" s="16"/>
      <c r="AH685" s="17"/>
      <c r="AI685" s="16"/>
    </row>
    <row r="686" spans="1:35" x14ac:dyDescent="0.2">
      <c r="A686" s="1231" t="s">
        <v>1450</v>
      </c>
      <c r="B686" s="16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62"/>
      <c r="O686" s="62"/>
      <c r="P686" s="1232"/>
      <c r="Q686" s="16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62"/>
      <c r="AD686" s="62"/>
      <c r="AE686" s="17"/>
      <c r="AF686" s="17"/>
      <c r="AG686" s="16"/>
      <c r="AH686" s="17"/>
      <c r="AI686" s="16"/>
    </row>
    <row r="687" spans="1:35" x14ac:dyDescent="0.2">
      <c r="A687" s="16" t="s">
        <v>1401</v>
      </c>
      <c r="B687" s="16">
        <v>1</v>
      </c>
      <c r="C687" s="1233">
        <v>1444.91</v>
      </c>
      <c r="D687" s="1233">
        <v>3595.5</v>
      </c>
      <c r="E687" s="12"/>
      <c r="F687" s="12"/>
      <c r="G687" s="12"/>
      <c r="H687" s="12"/>
      <c r="I687" s="12"/>
      <c r="J687" s="12"/>
      <c r="K687" s="1233">
        <f>SUM(C687:J687)</f>
        <v>5040.41</v>
      </c>
      <c r="L687" s="1233">
        <v>1000</v>
      </c>
      <c r="M687" s="12"/>
      <c r="N687" s="1234">
        <f>SUM(L687:M687)</f>
        <v>1000</v>
      </c>
      <c r="O687" s="1235">
        <f>K687*12+N687</f>
        <v>61484.92</v>
      </c>
      <c r="P687" s="1232">
        <f>O687*B687</f>
        <v>61484.92</v>
      </c>
      <c r="Q687" s="16">
        <v>1</v>
      </c>
      <c r="R687" s="1233">
        <v>1444.91</v>
      </c>
      <c r="S687" s="1233">
        <v>3595.5</v>
      </c>
      <c r="T687" s="12"/>
      <c r="U687" s="12"/>
      <c r="V687" s="12"/>
      <c r="W687" s="12"/>
      <c r="X687" s="12"/>
      <c r="Y687" s="12"/>
      <c r="Z687" s="1233">
        <f>SUM(R687:Y687)</f>
        <v>5040.41</v>
      </c>
      <c r="AA687" s="1233">
        <v>1000</v>
      </c>
      <c r="AB687" s="12"/>
      <c r="AC687" s="1234">
        <f>SUM(AA687:AB687)</f>
        <v>1000</v>
      </c>
      <c r="AD687" s="1235">
        <f>Z687*12+AC687</f>
        <v>61484.92</v>
      </c>
      <c r="AE687" s="1232">
        <f>AD687*Q687</f>
        <v>61484.92</v>
      </c>
      <c r="AF687" s="1236">
        <f>AD687-O687</f>
        <v>0</v>
      </c>
      <c r="AG687" s="1237">
        <f>AE687-P687</f>
        <v>0</v>
      </c>
      <c r="AH687" s="17">
        <f>Q687</f>
        <v>1</v>
      </c>
      <c r="AI687" s="1238">
        <f>AE687</f>
        <v>61484.92</v>
      </c>
    </row>
    <row r="688" spans="1:35" x14ac:dyDescent="0.2">
      <c r="A688" s="16"/>
      <c r="B688" s="16"/>
      <c r="C688" s="12"/>
      <c r="D688" s="12"/>
      <c r="E688" s="12"/>
      <c r="F688" s="12"/>
      <c r="G688" s="12"/>
      <c r="H688" s="12"/>
      <c r="I688" s="12"/>
      <c r="J688" s="12"/>
      <c r="K688" s="1233"/>
      <c r="L688" s="12"/>
      <c r="M688" s="12"/>
      <c r="N688" s="1234"/>
      <c r="O688" s="1235"/>
      <c r="P688" s="1232"/>
      <c r="Q688" s="16"/>
      <c r="R688" s="12"/>
      <c r="S688" s="12"/>
      <c r="T688" s="12"/>
      <c r="U688" s="12"/>
      <c r="V688" s="12"/>
      <c r="W688" s="12"/>
      <c r="X688" s="12"/>
      <c r="Y688" s="12"/>
      <c r="Z688" s="1233"/>
      <c r="AA688" s="12"/>
      <c r="AB688" s="12"/>
      <c r="AC688" s="1234"/>
      <c r="AD688" s="1235"/>
      <c r="AE688" s="1232"/>
      <c r="AF688" s="17"/>
      <c r="AG688" s="16"/>
      <c r="AH688" s="17"/>
      <c r="AI688" s="16"/>
    </row>
    <row r="689" spans="1:35" x14ac:dyDescent="0.2">
      <c r="A689" s="1231" t="s">
        <v>57</v>
      </c>
      <c r="B689" s="16"/>
      <c r="C689" s="12"/>
      <c r="D689" s="12"/>
      <c r="E689" s="12"/>
      <c r="F689" s="12"/>
      <c r="G689" s="12"/>
      <c r="H689" s="12"/>
      <c r="I689" s="12"/>
      <c r="J689" s="12"/>
      <c r="K689" s="1233"/>
      <c r="L689" s="12"/>
      <c r="M689" s="12"/>
      <c r="N689" s="1234"/>
      <c r="O689" s="1235"/>
      <c r="P689" s="1232"/>
      <c r="Q689" s="16"/>
      <c r="R689" s="12"/>
      <c r="S689" s="12"/>
      <c r="T689" s="12"/>
      <c r="U689" s="12"/>
      <c r="V689" s="12"/>
      <c r="W689" s="12"/>
      <c r="X689" s="12"/>
      <c r="Y689" s="12"/>
      <c r="Z689" s="1233"/>
      <c r="AA689" s="12"/>
      <c r="AB689" s="12"/>
      <c r="AC689" s="1234"/>
      <c r="AD689" s="1235"/>
      <c r="AE689" s="1232"/>
      <c r="AF689" s="17"/>
      <c r="AG689" s="16"/>
      <c r="AH689" s="17"/>
      <c r="AI689" s="16"/>
    </row>
    <row r="690" spans="1:35" x14ac:dyDescent="0.2">
      <c r="A690" s="16" t="s">
        <v>4</v>
      </c>
      <c r="B690" s="16"/>
      <c r="C690" s="12"/>
      <c r="D690" s="12"/>
      <c r="E690" s="12"/>
      <c r="F690" s="12"/>
      <c r="G690" s="12"/>
      <c r="H690" s="12"/>
      <c r="I690" s="12"/>
      <c r="J690" s="12"/>
      <c r="K690" s="1233"/>
      <c r="L690" s="12"/>
      <c r="M690" s="12"/>
      <c r="N690" s="1234"/>
      <c r="O690" s="1235"/>
      <c r="P690" s="1232"/>
      <c r="Q690" s="16"/>
      <c r="R690" s="12"/>
      <c r="S690" s="12"/>
      <c r="T690" s="12"/>
      <c r="U690" s="12"/>
      <c r="V690" s="12"/>
      <c r="W690" s="12"/>
      <c r="X690" s="12"/>
      <c r="Y690" s="12"/>
      <c r="Z690" s="1233"/>
      <c r="AA690" s="12"/>
      <c r="AB690" s="12"/>
      <c r="AC690" s="1234"/>
      <c r="AD690" s="1235"/>
      <c r="AE690" s="1232"/>
      <c r="AF690" s="17"/>
      <c r="AG690" s="16"/>
      <c r="AH690" s="17"/>
      <c r="AI690" s="16"/>
    </row>
    <row r="691" spans="1:35" x14ac:dyDescent="0.2">
      <c r="A691" s="16" t="s">
        <v>1405</v>
      </c>
      <c r="B691" s="16">
        <v>1</v>
      </c>
      <c r="C691" s="1233">
        <v>866.84</v>
      </c>
      <c r="D691" s="1233">
        <v>1255.5</v>
      </c>
      <c r="E691" s="12"/>
      <c r="F691" s="12"/>
      <c r="G691" s="12"/>
      <c r="H691" s="12"/>
      <c r="I691" s="12"/>
      <c r="J691" s="12"/>
      <c r="K691" s="1233">
        <f t="shared" ref="K691:K692" si="293">SUM(C691:J691)</f>
        <v>2122.34</v>
      </c>
      <c r="L691" s="1233">
        <v>1000</v>
      </c>
      <c r="M691" s="12"/>
      <c r="N691" s="1234">
        <f t="shared" ref="N691:N723" si="294">SUM(L691:M691)</f>
        <v>1000</v>
      </c>
      <c r="O691" s="1235">
        <f>K691*12+N691</f>
        <v>26468.080000000002</v>
      </c>
      <c r="P691" s="1232">
        <f t="shared" ref="P691:P692" si="295">O691*B691</f>
        <v>26468.080000000002</v>
      </c>
      <c r="Q691" s="16">
        <v>1</v>
      </c>
      <c r="R691" s="1233">
        <v>955.41</v>
      </c>
      <c r="S691" s="1233">
        <v>1255.5</v>
      </c>
      <c r="T691" s="12"/>
      <c r="U691" s="12"/>
      <c r="V691" s="12"/>
      <c r="W691" s="12"/>
      <c r="X691" s="12"/>
      <c r="Y691" s="12"/>
      <c r="Z691" s="1233">
        <f t="shared" ref="Z691:Z692" si="296">SUM(R691:Y691)</f>
        <v>2210.91</v>
      </c>
      <c r="AA691" s="1233">
        <v>1000</v>
      </c>
      <c r="AB691" s="12"/>
      <c r="AC691" s="1234">
        <f t="shared" ref="AC691:AC692" si="297">SUM(AA691:AB691)</f>
        <v>1000</v>
      </c>
      <c r="AD691" s="1235">
        <f>Z691*12+AC691</f>
        <v>27530.92</v>
      </c>
      <c r="AE691" s="1232">
        <f t="shared" ref="AE691:AE692" si="298">AD691*Q691</f>
        <v>27530.92</v>
      </c>
      <c r="AF691" s="1236">
        <f t="shared" ref="AF691:AG692" si="299">AD691-O691</f>
        <v>1062.8399999999965</v>
      </c>
      <c r="AG691" s="1237">
        <f t="shared" si="299"/>
        <v>1062.8399999999965</v>
      </c>
      <c r="AH691" s="17">
        <f t="shared" ref="AH691:AH692" si="300">Q691</f>
        <v>1</v>
      </c>
      <c r="AI691" s="1238">
        <f t="shared" ref="AI691:AI692" si="301">AE691</f>
        <v>27530.92</v>
      </c>
    </row>
    <row r="692" spans="1:35" x14ac:dyDescent="0.2">
      <c r="A692" s="16" t="s">
        <v>16</v>
      </c>
      <c r="B692" s="16">
        <v>1</v>
      </c>
      <c r="C692" s="1233">
        <v>858.69</v>
      </c>
      <c r="D692" s="1233">
        <v>2195.5</v>
      </c>
      <c r="E692" s="12"/>
      <c r="F692" s="12"/>
      <c r="G692" s="12"/>
      <c r="H692" s="12"/>
      <c r="I692" s="12"/>
      <c r="J692" s="12"/>
      <c r="K692" s="1233">
        <f t="shared" si="293"/>
        <v>3054.19</v>
      </c>
      <c r="L692" s="1233">
        <v>1000</v>
      </c>
      <c r="M692" s="12"/>
      <c r="N692" s="1234">
        <f t="shared" si="294"/>
        <v>1000</v>
      </c>
      <c r="O692" s="1235">
        <f>K692*12+N692</f>
        <v>37650.28</v>
      </c>
      <c r="P692" s="1232">
        <f t="shared" si="295"/>
        <v>37650.28</v>
      </c>
      <c r="Q692" s="16">
        <v>1</v>
      </c>
      <c r="R692" s="1233">
        <v>930.51</v>
      </c>
      <c r="S692" s="1233">
        <v>1255.5</v>
      </c>
      <c r="T692" s="12"/>
      <c r="U692" s="12"/>
      <c r="V692" s="12"/>
      <c r="W692" s="12"/>
      <c r="X692" s="12"/>
      <c r="Y692" s="12"/>
      <c r="Z692" s="1233">
        <f t="shared" si="296"/>
        <v>2186.0100000000002</v>
      </c>
      <c r="AA692" s="1233">
        <v>1000</v>
      </c>
      <c r="AB692" s="12"/>
      <c r="AC692" s="1234">
        <f t="shared" si="297"/>
        <v>1000</v>
      </c>
      <c r="AD692" s="1235">
        <f>Z692*12+AC692</f>
        <v>27232.120000000003</v>
      </c>
      <c r="AE692" s="1232">
        <f t="shared" si="298"/>
        <v>27232.120000000003</v>
      </c>
      <c r="AF692" s="1236">
        <f t="shared" si="299"/>
        <v>-10418.159999999996</v>
      </c>
      <c r="AG692" s="1237">
        <f t="shared" si="299"/>
        <v>-10418.159999999996</v>
      </c>
      <c r="AH692" s="17">
        <f t="shared" si="300"/>
        <v>1</v>
      </c>
      <c r="AI692" s="1238">
        <f t="shared" si="301"/>
        <v>27232.120000000003</v>
      </c>
    </row>
    <row r="693" spans="1:35" x14ac:dyDescent="0.2">
      <c r="A693" s="16"/>
      <c r="B693" s="16"/>
      <c r="C693" s="12"/>
      <c r="D693" s="12"/>
      <c r="E693" s="12"/>
      <c r="F693" s="12"/>
      <c r="G693" s="12"/>
      <c r="H693" s="12"/>
      <c r="I693" s="12"/>
      <c r="J693" s="12"/>
      <c r="K693" s="1233"/>
      <c r="L693" s="12"/>
      <c r="M693" s="12"/>
      <c r="N693" s="1234"/>
      <c r="O693" s="1235"/>
      <c r="P693" s="1232"/>
      <c r="Q693" s="16"/>
      <c r="R693" s="12"/>
      <c r="S693" s="12"/>
      <c r="T693" s="12"/>
      <c r="U693" s="12"/>
      <c r="V693" s="12"/>
      <c r="W693" s="12"/>
      <c r="X693" s="12"/>
      <c r="Y693" s="12"/>
      <c r="Z693" s="1233"/>
      <c r="AA693" s="12"/>
      <c r="AB693" s="12"/>
      <c r="AC693" s="1234"/>
      <c r="AD693" s="1235"/>
      <c r="AE693" s="1232"/>
      <c r="AF693" s="17"/>
      <c r="AG693" s="16"/>
      <c r="AH693" s="17"/>
      <c r="AI693" s="16"/>
    </row>
    <row r="694" spans="1:35" x14ac:dyDescent="0.2">
      <c r="A694" s="16" t="s">
        <v>5</v>
      </c>
      <c r="B694" s="16"/>
      <c r="C694" s="12"/>
      <c r="D694" s="12"/>
      <c r="E694" s="12"/>
      <c r="F694" s="12"/>
      <c r="G694" s="12"/>
      <c r="H694" s="12"/>
      <c r="I694" s="12"/>
      <c r="J694" s="12"/>
      <c r="K694" s="1233"/>
      <c r="L694" s="12"/>
      <c r="M694" s="12"/>
      <c r="N694" s="1234"/>
      <c r="O694" s="1235"/>
      <c r="P694" s="1232"/>
      <c r="Q694" s="16"/>
      <c r="R694" s="12"/>
      <c r="S694" s="12"/>
      <c r="T694" s="12"/>
      <c r="U694" s="12"/>
      <c r="V694" s="12"/>
      <c r="W694" s="12"/>
      <c r="X694" s="12"/>
      <c r="Y694" s="12"/>
      <c r="Z694" s="1233"/>
      <c r="AA694" s="12"/>
      <c r="AB694" s="12"/>
      <c r="AC694" s="1234"/>
      <c r="AD694" s="1235"/>
      <c r="AE694" s="1232"/>
      <c r="AF694" s="17"/>
      <c r="AG694" s="16"/>
      <c r="AH694" s="17"/>
      <c r="AI694" s="16"/>
    </row>
    <row r="695" spans="1:35" x14ac:dyDescent="0.2">
      <c r="A695" s="16" t="s">
        <v>17</v>
      </c>
      <c r="B695" s="16">
        <v>3</v>
      </c>
      <c r="C695" s="1233">
        <v>791.61</v>
      </c>
      <c r="D695" s="1233">
        <v>2195.5</v>
      </c>
      <c r="E695" s="12"/>
      <c r="F695" s="12"/>
      <c r="G695" s="12"/>
      <c r="H695" s="12"/>
      <c r="I695" s="12"/>
      <c r="J695" s="12"/>
      <c r="K695" s="1233">
        <f t="shared" ref="K695:K700" si="302">SUM(C695:J695)</f>
        <v>2987.11</v>
      </c>
      <c r="L695" s="1233">
        <v>1000</v>
      </c>
      <c r="M695" s="12"/>
      <c r="N695" s="1234">
        <f t="shared" si="294"/>
        <v>1000</v>
      </c>
      <c r="O695" s="1235">
        <f t="shared" ref="O695:O700" si="303">K695*12+N695</f>
        <v>36845.32</v>
      </c>
      <c r="P695" s="1232">
        <f t="shared" ref="P695:P700" si="304">O695*B695</f>
        <v>110535.95999999999</v>
      </c>
      <c r="Q695" s="16">
        <v>3</v>
      </c>
      <c r="R695" s="1233">
        <v>875.25</v>
      </c>
      <c r="S695" s="1233">
        <f>4706.5/3</f>
        <v>1568.8333333333333</v>
      </c>
      <c r="T695" s="12"/>
      <c r="U695" s="12"/>
      <c r="V695" s="12"/>
      <c r="W695" s="12"/>
      <c r="X695" s="12"/>
      <c r="Y695" s="12"/>
      <c r="Z695" s="1233">
        <f t="shared" ref="Z695:Z700" si="305">SUM(R695:Y695)</f>
        <v>2444.083333333333</v>
      </c>
      <c r="AA695" s="1233">
        <v>1000</v>
      </c>
      <c r="AB695" s="12"/>
      <c r="AC695" s="1234">
        <f t="shared" ref="AC695:AC700" si="306">SUM(AA695:AB695)</f>
        <v>1000</v>
      </c>
      <c r="AD695" s="1235">
        <f t="shared" ref="AD695:AD700" si="307">Z695*12+AC695</f>
        <v>30328.999999999996</v>
      </c>
      <c r="AE695" s="1232">
        <f t="shared" ref="AE695:AE700" si="308">AD695*Q695</f>
        <v>90986.999999999985</v>
      </c>
      <c r="AF695" s="1236">
        <f t="shared" ref="AF695:AG700" si="309">AD695-O695</f>
        <v>-6516.3200000000033</v>
      </c>
      <c r="AG695" s="1237">
        <f t="shared" si="309"/>
        <v>-19548.960000000006</v>
      </c>
      <c r="AH695" s="17">
        <f t="shared" ref="AH695:AH700" si="310">Q695</f>
        <v>3</v>
      </c>
      <c r="AI695" s="1238">
        <f t="shared" ref="AI695:AI700" si="311">AE695</f>
        <v>90986.999999999985</v>
      </c>
    </row>
    <row r="696" spans="1:35" x14ac:dyDescent="0.2">
      <c r="A696" s="16" t="s">
        <v>1436</v>
      </c>
      <c r="B696" s="16">
        <v>1</v>
      </c>
      <c r="C696" s="1233">
        <v>769.21</v>
      </c>
      <c r="D696" s="1233">
        <v>1255.5</v>
      </c>
      <c r="E696" s="12"/>
      <c r="F696" s="12"/>
      <c r="G696" s="12"/>
      <c r="H696" s="12"/>
      <c r="I696" s="12"/>
      <c r="J696" s="12"/>
      <c r="K696" s="1233">
        <f t="shared" si="302"/>
        <v>2024.71</v>
      </c>
      <c r="L696" s="1233">
        <v>1000</v>
      </c>
      <c r="M696" s="12"/>
      <c r="N696" s="1234">
        <f t="shared" ref="N696:N697" si="312">SUM(L696:M696)</f>
        <v>1000</v>
      </c>
      <c r="O696" s="1235">
        <f t="shared" si="303"/>
        <v>25296.52</v>
      </c>
      <c r="P696" s="1232">
        <f t="shared" si="304"/>
        <v>25296.52</v>
      </c>
      <c r="Q696" s="16">
        <v>1</v>
      </c>
      <c r="R696" s="1233">
        <v>867.49</v>
      </c>
      <c r="S696" s="1233">
        <v>1255.5</v>
      </c>
      <c r="T696" s="12"/>
      <c r="U696" s="12"/>
      <c r="V696" s="12"/>
      <c r="W696" s="12"/>
      <c r="X696" s="12"/>
      <c r="Y696" s="12"/>
      <c r="Z696" s="1233">
        <f t="shared" si="305"/>
        <v>2122.9899999999998</v>
      </c>
      <c r="AA696" s="1233">
        <v>1000</v>
      </c>
      <c r="AB696" s="12"/>
      <c r="AC696" s="1234">
        <f t="shared" si="306"/>
        <v>1000</v>
      </c>
      <c r="AD696" s="1235">
        <f t="shared" si="307"/>
        <v>26475.879999999997</v>
      </c>
      <c r="AE696" s="1232">
        <f t="shared" si="308"/>
        <v>26475.879999999997</v>
      </c>
      <c r="AF696" s="1236">
        <f t="shared" si="309"/>
        <v>1179.3599999999969</v>
      </c>
      <c r="AG696" s="1237">
        <f t="shared" si="309"/>
        <v>1179.3599999999969</v>
      </c>
      <c r="AH696" s="17">
        <f t="shared" si="310"/>
        <v>1</v>
      </c>
      <c r="AI696" s="1238">
        <f t="shared" si="311"/>
        <v>26475.879999999997</v>
      </c>
    </row>
    <row r="697" spans="1:35" x14ac:dyDescent="0.2">
      <c r="A697" s="16" t="s">
        <v>1437</v>
      </c>
      <c r="B697" s="16">
        <v>1</v>
      </c>
      <c r="C697" s="1233">
        <v>687.34</v>
      </c>
      <c r="D697" s="1233">
        <v>1255.5</v>
      </c>
      <c r="E697" s="12"/>
      <c r="F697" s="12"/>
      <c r="G697" s="12"/>
      <c r="H697" s="12"/>
      <c r="I697" s="12"/>
      <c r="J697" s="12"/>
      <c r="K697" s="1233">
        <f t="shared" si="302"/>
        <v>1942.8400000000001</v>
      </c>
      <c r="L697" s="1233">
        <v>1000</v>
      </c>
      <c r="M697" s="12"/>
      <c r="N697" s="1234">
        <f t="shared" si="312"/>
        <v>1000</v>
      </c>
      <c r="O697" s="1235">
        <f t="shared" si="303"/>
        <v>24314.080000000002</v>
      </c>
      <c r="P697" s="1232">
        <f t="shared" si="304"/>
        <v>24314.080000000002</v>
      </c>
      <c r="Q697" s="16">
        <v>0</v>
      </c>
      <c r="R697" s="1233">
        <v>0</v>
      </c>
      <c r="S697" s="1233">
        <v>0</v>
      </c>
      <c r="T697" s="12"/>
      <c r="U697" s="12"/>
      <c r="V697" s="12"/>
      <c r="W697" s="12"/>
      <c r="X697" s="12"/>
      <c r="Y697" s="12"/>
      <c r="Z697" s="1233">
        <f t="shared" si="305"/>
        <v>0</v>
      </c>
      <c r="AA697" s="1233">
        <v>0</v>
      </c>
      <c r="AB697" s="12"/>
      <c r="AC697" s="1234">
        <f t="shared" si="306"/>
        <v>0</v>
      </c>
      <c r="AD697" s="1235">
        <f t="shared" si="307"/>
        <v>0</v>
      </c>
      <c r="AE697" s="1232">
        <f t="shared" si="308"/>
        <v>0</v>
      </c>
      <c r="AF697" s="1236">
        <f t="shared" si="309"/>
        <v>-24314.080000000002</v>
      </c>
      <c r="AG697" s="1237">
        <f t="shared" si="309"/>
        <v>-24314.080000000002</v>
      </c>
      <c r="AH697" s="17"/>
      <c r="AI697" s="1238"/>
    </row>
    <row r="698" spans="1:35" x14ac:dyDescent="0.2">
      <c r="A698" s="16" t="s">
        <v>1438</v>
      </c>
      <c r="B698" s="16">
        <v>12</v>
      </c>
      <c r="C698" s="1233">
        <v>721.4</v>
      </c>
      <c r="D698" s="1233">
        <v>1568.84</v>
      </c>
      <c r="E698" s="12"/>
      <c r="F698" s="12"/>
      <c r="G698" s="12"/>
      <c r="H698" s="12"/>
      <c r="I698" s="12"/>
      <c r="J698" s="12"/>
      <c r="K698" s="1233">
        <f t="shared" si="302"/>
        <v>2290.2399999999998</v>
      </c>
      <c r="L698" s="1233">
        <v>1000</v>
      </c>
      <c r="M698" s="12"/>
      <c r="N698" s="1234">
        <f t="shared" si="294"/>
        <v>1000</v>
      </c>
      <c r="O698" s="1235">
        <f t="shared" si="303"/>
        <v>28482.879999999997</v>
      </c>
      <c r="P698" s="1232">
        <f t="shared" si="304"/>
        <v>341794.55999999994</v>
      </c>
      <c r="Q698" s="16">
        <v>3</v>
      </c>
      <c r="R698" s="1233">
        <v>855</v>
      </c>
      <c r="S698" s="1233">
        <v>1568.83</v>
      </c>
      <c r="T698" s="12"/>
      <c r="U698" s="12"/>
      <c r="V698" s="12"/>
      <c r="W698" s="12"/>
      <c r="X698" s="12"/>
      <c r="Y698" s="12"/>
      <c r="Z698" s="1233">
        <f t="shared" si="305"/>
        <v>2423.83</v>
      </c>
      <c r="AA698" s="1233">
        <v>1000</v>
      </c>
      <c r="AB698" s="12"/>
      <c r="AC698" s="1234">
        <f t="shared" si="306"/>
        <v>1000</v>
      </c>
      <c r="AD698" s="1235">
        <f t="shared" si="307"/>
        <v>30085.96</v>
      </c>
      <c r="AE698" s="1232">
        <f>(AD698*Q698)+0.12</f>
        <v>90258</v>
      </c>
      <c r="AF698" s="1236">
        <f t="shared" si="309"/>
        <v>1603.0800000000017</v>
      </c>
      <c r="AG698" s="1237">
        <f t="shared" si="309"/>
        <v>-251536.55999999994</v>
      </c>
      <c r="AH698" s="17">
        <f t="shared" si="310"/>
        <v>3</v>
      </c>
      <c r="AI698" s="1238">
        <f t="shared" si="311"/>
        <v>90258</v>
      </c>
    </row>
    <row r="699" spans="1:35" x14ac:dyDescent="0.2">
      <c r="A699" s="16" t="s">
        <v>18</v>
      </c>
      <c r="B699" s="16">
        <v>2</v>
      </c>
      <c r="C699" s="1233">
        <v>709.24</v>
      </c>
      <c r="D699" s="1233">
        <v>1255.5</v>
      </c>
      <c r="E699" s="12"/>
      <c r="F699" s="12"/>
      <c r="G699" s="12"/>
      <c r="H699" s="12"/>
      <c r="I699" s="12"/>
      <c r="J699" s="12"/>
      <c r="K699" s="1233">
        <f t="shared" si="302"/>
        <v>1964.74</v>
      </c>
      <c r="L699" s="1233">
        <v>1000</v>
      </c>
      <c r="M699" s="12"/>
      <c r="N699" s="1234">
        <f t="shared" si="294"/>
        <v>1000</v>
      </c>
      <c r="O699" s="1235">
        <f t="shared" si="303"/>
        <v>24576.880000000001</v>
      </c>
      <c r="P699" s="1232">
        <f t="shared" si="304"/>
        <v>49153.760000000002</v>
      </c>
      <c r="Q699" s="16">
        <v>2</v>
      </c>
      <c r="R699" s="1233">
        <f>1708/2</f>
        <v>854</v>
      </c>
      <c r="S699" s="1233">
        <v>1255.5</v>
      </c>
      <c r="T699" s="12"/>
      <c r="U699" s="12"/>
      <c r="V699" s="12"/>
      <c r="W699" s="12"/>
      <c r="X699" s="12"/>
      <c r="Y699" s="12"/>
      <c r="Z699" s="1233">
        <f t="shared" si="305"/>
        <v>2109.5</v>
      </c>
      <c r="AA699" s="1233">
        <v>1000</v>
      </c>
      <c r="AB699" s="12"/>
      <c r="AC699" s="1234">
        <f t="shared" si="306"/>
        <v>1000</v>
      </c>
      <c r="AD699" s="1235">
        <f t="shared" si="307"/>
        <v>26314</v>
      </c>
      <c r="AE699" s="1232">
        <f t="shared" si="308"/>
        <v>52628</v>
      </c>
      <c r="AF699" s="1236">
        <f t="shared" si="309"/>
        <v>1737.119999999999</v>
      </c>
      <c r="AG699" s="1237">
        <f t="shared" si="309"/>
        <v>3474.239999999998</v>
      </c>
      <c r="AH699" s="17">
        <f t="shared" si="310"/>
        <v>2</v>
      </c>
      <c r="AI699" s="1238">
        <f t="shared" si="311"/>
        <v>52628</v>
      </c>
    </row>
    <row r="700" spans="1:35" x14ac:dyDescent="0.2">
      <c r="A700" s="16" t="s">
        <v>1439</v>
      </c>
      <c r="B700" s="16">
        <v>1</v>
      </c>
      <c r="C700" s="1233">
        <v>701.1</v>
      </c>
      <c r="D700" s="1233">
        <v>1255.5</v>
      </c>
      <c r="E700" s="12"/>
      <c r="F700" s="12"/>
      <c r="G700" s="12"/>
      <c r="H700" s="12"/>
      <c r="I700" s="12"/>
      <c r="J700" s="12"/>
      <c r="K700" s="1233">
        <f t="shared" si="302"/>
        <v>1956.6</v>
      </c>
      <c r="L700" s="1233">
        <v>1000</v>
      </c>
      <c r="M700" s="12"/>
      <c r="N700" s="1234">
        <f t="shared" si="294"/>
        <v>1000</v>
      </c>
      <c r="O700" s="1235">
        <f t="shared" si="303"/>
        <v>24479.199999999997</v>
      </c>
      <c r="P700" s="1232">
        <f t="shared" si="304"/>
        <v>24479.199999999997</v>
      </c>
      <c r="Q700" s="16">
        <v>10</v>
      </c>
      <c r="R700" s="1233">
        <v>853</v>
      </c>
      <c r="S700" s="1233">
        <v>1717.4</v>
      </c>
      <c r="T700" s="12"/>
      <c r="U700" s="12"/>
      <c r="V700" s="12"/>
      <c r="W700" s="12"/>
      <c r="X700" s="12"/>
      <c r="Y700" s="12"/>
      <c r="Z700" s="1233">
        <f t="shared" si="305"/>
        <v>2570.4</v>
      </c>
      <c r="AA700" s="1233">
        <v>1000</v>
      </c>
      <c r="AB700" s="12"/>
      <c r="AC700" s="1234">
        <f t="shared" si="306"/>
        <v>1000</v>
      </c>
      <c r="AD700" s="1235">
        <f t="shared" si="307"/>
        <v>31844.800000000003</v>
      </c>
      <c r="AE700" s="1232">
        <f t="shared" si="308"/>
        <v>318448</v>
      </c>
      <c r="AF700" s="1236">
        <f t="shared" si="309"/>
        <v>7365.6000000000058</v>
      </c>
      <c r="AG700" s="1237">
        <f t="shared" si="309"/>
        <v>293968.8</v>
      </c>
      <c r="AH700" s="17">
        <f t="shared" si="310"/>
        <v>10</v>
      </c>
      <c r="AI700" s="1238">
        <f t="shared" si="311"/>
        <v>318448</v>
      </c>
    </row>
    <row r="701" spans="1:35" x14ac:dyDescent="0.2">
      <c r="A701" s="16"/>
      <c r="B701" s="16"/>
      <c r="C701" s="12"/>
      <c r="D701" s="12"/>
      <c r="E701" s="12"/>
      <c r="F701" s="12"/>
      <c r="G701" s="12"/>
      <c r="H701" s="12"/>
      <c r="I701" s="12"/>
      <c r="J701" s="12"/>
      <c r="K701" s="1233"/>
      <c r="L701" s="12"/>
      <c r="M701" s="12"/>
      <c r="N701" s="1234"/>
      <c r="O701" s="1235"/>
      <c r="P701" s="1232"/>
      <c r="Q701" s="16"/>
      <c r="R701" s="12"/>
      <c r="S701" s="12"/>
      <c r="T701" s="12"/>
      <c r="U701" s="12"/>
      <c r="V701" s="12"/>
      <c r="W701" s="12"/>
      <c r="X701" s="12"/>
      <c r="Y701" s="12"/>
      <c r="Z701" s="1233"/>
      <c r="AA701" s="12"/>
      <c r="AB701" s="12"/>
      <c r="AC701" s="1234"/>
      <c r="AD701" s="1235"/>
      <c r="AE701" s="1232"/>
      <c r="AF701" s="17"/>
      <c r="AG701" s="16"/>
      <c r="AH701" s="17"/>
      <c r="AI701" s="16"/>
    </row>
    <row r="702" spans="1:35" x14ac:dyDescent="0.2">
      <c r="A702" s="16" t="s">
        <v>6</v>
      </c>
      <c r="B702" s="16"/>
      <c r="C702" s="12"/>
      <c r="D702" s="12"/>
      <c r="E702" s="12"/>
      <c r="F702" s="12"/>
      <c r="G702" s="12"/>
      <c r="H702" s="12"/>
      <c r="I702" s="12"/>
      <c r="J702" s="12"/>
      <c r="K702" s="1233"/>
      <c r="L702" s="12"/>
      <c r="M702" s="12"/>
      <c r="N702" s="1234"/>
      <c r="O702" s="1235"/>
      <c r="P702" s="1232"/>
      <c r="Q702" s="16"/>
      <c r="R702" s="12"/>
      <c r="S702" s="12"/>
      <c r="T702" s="12"/>
      <c r="U702" s="12"/>
      <c r="V702" s="12"/>
      <c r="W702" s="12"/>
      <c r="X702" s="12"/>
      <c r="Y702" s="12"/>
      <c r="Z702" s="1233"/>
      <c r="AA702" s="12"/>
      <c r="AB702" s="12"/>
      <c r="AC702" s="1234"/>
      <c r="AD702" s="1235"/>
      <c r="AE702" s="1232"/>
      <c r="AF702" s="17"/>
      <c r="AG702" s="16"/>
      <c r="AH702" s="17"/>
      <c r="AI702" s="16"/>
    </row>
    <row r="703" spans="1:35" x14ac:dyDescent="0.2">
      <c r="A703" s="16" t="s">
        <v>1440</v>
      </c>
      <c r="B703" s="16">
        <v>0</v>
      </c>
      <c r="C703" s="1233">
        <v>0</v>
      </c>
      <c r="D703" s="1233">
        <v>0</v>
      </c>
      <c r="E703" s="12"/>
      <c r="F703" s="12"/>
      <c r="G703" s="12"/>
      <c r="H703" s="12"/>
      <c r="I703" s="12"/>
      <c r="J703" s="12"/>
      <c r="K703" s="1233">
        <f t="shared" ref="K703:K705" si="313">SUM(C703:J703)</f>
        <v>0</v>
      </c>
      <c r="L703" s="1233">
        <v>0</v>
      </c>
      <c r="M703" s="12"/>
      <c r="N703" s="1234">
        <f t="shared" ref="N703:N705" si="314">SUM(L703:M703)</f>
        <v>0</v>
      </c>
      <c r="O703" s="1235">
        <f>K703*12+N703</f>
        <v>0</v>
      </c>
      <c r="P703" s="1232">
        <f t="shared" ref="P703:P705" si="315">O703*B703</f>
        <v>0</v>
      </c>
      <c r="Q703" s="16">
        <v>1</v>
      </c>
      <c r="R703" s="1233">
        <v>828.61</v>
      </c>
      <c r="S703" s="1233">
        <v>1255.5</v>
      </c>
      <c r="T703" s="12"/>
      <c r="U703" s="12"/>
      <c r="V703" s="12"/>
      <c r="W703" s="12"/>
      <c r="X703" s="12"/>
      <c r="Y703" s="12"/>
      <c r="Z703" s="1233">
        <f t="shared" ref="Z703:Z705" si="316">SUM(R703:Y703)</f>
        <v>2084.11</v>
      </c>
      <c r="AA703" s="1233">
        <v>1000</v>
      </c>
      <c r="AB703" s="12"/>
      <c r="AC703" s="1234">
        <f t="shared" ref="AC703:AC705" si="317">SUM(AA703:AB703)</f>
        <v>1000</v>
      </c>
      <c r="AD703" s="1235">
        <f>Z703*12+AC703</f>
        <v>26009.32</v>
      </c>
      <c r="AE703" s="1232">
        <f t="shared" ref="AE703:AE705" si="318">AD703*Q703</f>
        <v>26009.32</v>
      </c>
      <c r="AF703" s="1236">
        <f t="shared" ref="AF703:AG705" si="319">AD703-O703</f>
        <v>26009.32</v>
      </c>
      <c r="AG703" s="1237">
        <f t="shared" si="319"/>
        <v>26009.32</v>
      </c>
      <c r="AH703" s="17">
        <f t="shared" ref="AH703:AH705" si="320">Q703</f>
        <v>1</v>
      </c>
      <c r="AI703" s="1238">
        <f t="shared" ref="AI703:AI705" si="321">AE703</f>
        <v>26009.32</v>
      </c>
    </row>
    <row r="704" spans="1:35" x14ac:dyDescent="0.2">
      <c r="A704" s="16" t="s">
        <v>1441</v>
      </c>
      <c r="B704" s="16">
        <v>1</v>
      </c>
      <c r="C704" s="1233">
        <v>709.24</v>
      </c>
      <c r="D704" s="1233">
        <v>2595.5</v>
      </c>
      <c r="E704" s="12"/>
      <c r="F704" s="12"/>
      <c r="G704" s="12"/>
      <c r="H704" s="12"/>
      <c r="I704" s="12"/>
      <c r="J704" s="12"/>
      <c r="K704" s="1233">
        <f t="shared" si="313"/>
        <v>3304.74</v>
      </c>
      <c r="L704" s="1233">
        <v>1000</v>
      </c>
      <c r="M704" s="12"/>
      <c r="N704" s="1234">
        <f t="shared" ref="N704" si="322">SUM(L704:M704)</f>
        <v>1000</v>
      </c>
      <c r="O704" s="1235">
        <f>K704*12+N704</f>
        <v>40656.879999999997</v>
      </c>
      <c r="P704" s="1232">
        <f t="shared" si="315"/>
        <v>40656.879999999997</v>
      </c>
      <c r="Q704" s="16">
        <v>0</v>
      </c>
      <c r="R704" s="1233">
        <v>0</v>
      </c>
      <c r="S704" s="1233">
        <v>0</v>
      </c>
      <c r="T704" s="12"/>
      <c r="U704" s="12"/>
      <c r="V704" s="12"/>
      <c r="W704" s="12"/>
      <c r="X704" s="12"/>
      <c r="Y704" s="12"/>
      <c r="Z704" s="1233">
        <f t="shared" si="316"/>
        <v>0</v>
      </c>
      <c r="AA704" s="1233">
        <v>0</v>
      </c>
      <c r="AB704" s="12"/>
      <c r="AC704" s="1234">
        <f t="shared" ref="AC704" si="323">SUM(AA704:AB704)</f>
        <v>0</v>
      </c>
      <c r="AD704" s="1235">
        <f>Z704*12+AC704</f>
        <v>0</v>
      </c>
      <c r="AE704" s="1232">
        <f t="shared" si="318"/>
        <v>0</v>
      </c>
      <c r="AF704" s="1236">
        <f t="shared" si="319"/>
        <v>-40656.879999999997</v>
      </c>
      <c r="AG704" s="1237">
        <f t="shared" si="319"/>
        <v>-40656.879999999997</v>
      </c>
      <c r="AH704" s="17"/>
      <c r="AI704" s="1238"/>
    </row>
    <row r="705" spans="1:35" x14ac:dyDescent="0.2">
      <c r="A705" s="16" t="s">
        <v>1442</v>
      </c>
      <c r="B705" s="16">
        <v>3</v>
      </c>
      <c r="C705" s="1233">
        <v>713.59</v>
      </c>
      <c r="D705" s="1233">
        <v>1568.83</v>
      </c>
      <c r="E705" s="12"/>
      <c r="F705" s="12"/>
      <c r="G705" s="12"/>
      <c r="H705" s="12"/>
      <c r="I705" s="12"/>
      <c r="J705" s="12"/>
      <c r="K705" s="1233">
        <f t="shared" si="313"/>
        <v>2282.42</v>
      </c>
      <c r="L705" s="1233">
        <v>1000</v>
      </c>
      <c r="M705" s="12"/>
      <c r="N705" s="1234">
        <f t="shared" si="314"/>
        <v>1000</v>
      </c>
      <c r="O705" s="1235">
        <f>K705*12+N705</f>
        <v>28389.040000000001</v>
      </c>
      <c r="P705" s="1232">
        <f t="shared" si="315"/>
        <v>85167.12</v>
      </c>
      <c r="Q705" s="16">
        <v>3</v>
      </c>
      <c r="R705" s="1233">
        <v>813.05</v>
      </c>
      <c r="S705" s="1233">
        <v>1255.5</v>
      </c>
      <c r="T705" s="12"/>
      <c r="U705" s="12"/>
      <c r="V705" s="12"/>
      <c r="W705" s="12"/>
      <c r="X705" s="12"/>
      <c r="Y705" s="12"/>
      <c r="Z705" s="1233">
        <f t="shared" si="316"/>
        <v>2068.5500000000002</v>
      </c>
      <c r="AA705" s="1233">
        <v>1000</v>
      </c>
      <c r="AB705" s="12"/>
      <c r="AC705" s="1234">
        <f t="shared" si="317"/>
        <v>1000</v>
      </c>
      <c r="AD705" s="1235">
        <f>Z705*12+AC705</f>
        <v>25822.600000000002</v>
      </c>
      <c r="AE705" s="1232">
        <f t="shared" si="318"/>
        <v>77467.8</v>
      </c>
      <c r="AF705" s="1236">
        <f t="shared" si="319"/>
        <v>-2566.4399999999987</v>
      </c>
      <c r="AG705" s="1237">
        <f t="shared" si="319"/>
        <v>-7699.3199999999924</v>
      </c>
      <c r="AH705" s="17">
        <f t="shared" si="320"/>
        <v>3</v>
      </c>
      <c r="AI705" s="1238">
        <f t="shared" si="321"/>
        <v>77467.8</v>
      </c>
    </row>
    <row r="706" spans="1:35" x14ac:dyDescent="0.2">
      <c r="A706" s="16"/>
      <c r="B706" s="16"/>
      <c r="C706" s="12"/>
      <c r="D706" s="12"/>
      <c r="E706" s="12"/>
      <c r="F706" s="12"/>
      <c r="G706" s="12"/>
      <c r="H706" s="12"/>
      <c r="I706" s="12"/>
      <c r="J706" s="12"/>
      <c r="K706" s="1233"/>
      <c r="L706" s="12"/>
      <c r="M706" s="12"/>
      <c r="N706" s="1234"/>
      <c r="O706" s="1235"/>
      <c r="P706" s="1232"/>
      <c r="Q706" s="16"/>
      <c r="R706" s="12"/>
      <c r="S706" s="12"/>
      <c r="T706" s="12"/>
      <c r="U706" s="12"/>
      <c r="V706" s="12"/>
      <c r="W706" s="12"/>
      <c r="X706" s="12"/>
      <c r="Y706" s="12"/>
      <c r="Z706" s="1233"/>
      <c r="AA706" s="12"/>
      <c r="AB706" s="12"/>
      <c r="AC706" s="1234"/>
      <c r="AD706" s="1235"/>
      <c r="AE706" s="1232"/>
      <c r="AF706" s="17"/>
      <c r="AG706" s="16"/>
      <c r="AH706" s="17"/>
      <c r="AI706" s="16"/>
    </row>
    <row r="707" spans="1:35" x14ac:dyDescent="0.2">
      <c r="A707" s="1231" t="s">
        <v>59</v>
      </c>
      <c r="B707" s="16"/>
      <c r="C707" s="12"/>
      <c r="D707" s="12"/>
      <c r="E707" s="12"/>
      <c r="F707" s="12"/>
      <c r="G707" s="12"/>
      <c r="H707" s="12"/>
      <c r="I707" s="12"/>
      <c r="J707" s="12"/>
      <c r="K707" s="1233"/>
      <c r="L707" s="12"/>
      <c r="M707" s="12"/>
      <c r="N707" s="1234"/>
      <c r="O707" s="1235"/>
      <c r="P707" s="1232"/>
      <c r="Q707" s="16"/>
      <c r="R707" s="12"/>
      <c r="S707" s="12"/>
      <c r="T707" s="12"/>
      <c r="U707" s="12"/>
      <c r="V707" s="12"/>
      <c r="W707" s="12"/>
      <c r="X707" s="12"/>
      <c r="Y707" s="12"/>
      <c r="Z707" s="1233"/>
      <c r="AA707" s="12"/>
      <c r="AB707" s="12"/>
      <c r="AC707" s="1234"/>
      <c r="AD707" s="1235"/>
      <c r="AE707" s="1232"/>
      <c r="AF707" s="17"/>
      <c r="AG707" s="16"/>
      <c r="AH707" s="17"/>
      <c r="AI707" s="16"/>
    </row>
    <row r="708" spans="1:35" x14ac:dyDescent="0.2">
      <c r="A708" s="16" t="s">
        <v>5</v>
      </c>
      <c r="B708" s="16"/>
      <c r="C708" s="12"/>
      <c r="D708" s="12"/>
      <c r="E708" s="12"/>
      <c r="F708" s="12"/>
      <c r="G708" s="12"/>
      <c r="H708" s="12"/>
      <c r="I708" s="12"/>
      <c r="J708" s="12"/>
      <c r="K708" s="1233"/>
      <c r="L708" s="12"/>
      <c r="M708" s="12"/>
      <c r="N708" s="1234"/>
      <c r="O708" s="1235"/>
      <c r="P708" s="1232"/>
      <c r="Q708" s="16"/>
      <c r="R708" s="12"/>
      <c r="S708" s="12"/>
      <c r="T708" s="12"/>
      <c r="U708" s="12"/>
      <c r="V708" s="12"/>
      <c r="W708" s="12"/>
      <c r="X708" s="12"/>
      <c r="Y708" s="12"/>
      <c r="Z708" s="1233"/>
      <c r="AA708" s="12"/>
      <c r="AB708" s="12"/>
      <c r="AC708" s="1234"/>
      <c r="AD708" s="1235"/>
      <c r="AE708" s="1232"/>
      <c r="AF708" s="17"/>
      <c r="AG708" s="16"/>
      <c r="AH708" s="17"/>
      <c r="AI708" s="16"/>
    </row>
    <row r="709" spans="1:35" x14ac:dyDescent="0.2">
      <c r="A709" s="16" t="s">
        <v>1439</v>
      </c>
      <c r="B709" s="16">
        <v>1</v>
      </c>
      <c r="C709" s="1233">
        <v>1860</v>
      </c>
      <c r="D709" s="12"/>
      <c r="E709" s="12"/>
      <c r="F709" s="12"/>
      <c r="G709" s="12"/>
      <c r="H709" s="12"/>
      <c r="I709" s="1233">
        <v>0</v>
      </c>
      <c r="J709" s="12"/>
      <c r="K709" s="1233">
        <f t="shared" ref="K709:K713" si="324">SUM(C709:J709)</f>
        <v>1860</v>
      </c>
      <c r="L709" s="1233">
        <v>1000</v>
      </c>
      <c r="M709" s="12"/>
      <c r="N709" s="1234">
        <f t="shared" ref="N709" si="325">SUM(L709:M709)</f>
        <v>1000</v>
      </c>
      <c r="O709" s="1235">
        <f>K709*12+N709</f>
        <v>23320</v>
      </c>
      <c r="P709" s="1232">
        <f t="shared" ref="P709" si="326">O709*B709</f>
        <v>23320</v>
      </c>
      <c r="Q709" s="16">
        <v>1</v>
      </c>
      <c r="R709" s="1233">
        <v>2068</v>
      </c>
      <c r="S709" s="12"/>
      <c r="T709" s="12"/>
      <c r="U709" s="12"/>
      <c r="V709" s="12"/>
      <c r="W709" s="12"/>
      <c r="X709" s="1233">
        <v>158</v>
      </c>
      <c r="Y709" s="12"/>
      <c r="Z709" s="1233">
        <f t="shared" ref="Z709:Z713" si="327">SUM(R709:Y709)</f>
        <v>2226</v>
      </c>
      <c r="AA709" s="1233">
        <v>1000</v>
      </c>
      <c r="AB709" s="12"/>
      <c r="AC709" s="1234">
        <f t="shared" ref="AC709:AC713" si="328">SUM(AA709:AB709)</f>
        <v>1000</v>
      </c>
      <c r="AD709" s="1235">
        <f>Z709*12+AC709</f>
        <v>27712</v>
      </c>
      <c r="AE709" s="1232">
        <f t="shared" ref="AE709" si="329">AD709*Q709</f>
        <v>27712</v>
      </c>
      <c r="AF709" s="1236">
        <f t="shared" ref="AF709:AG713" si="330">AD709-O709</f>
        <v>4392</v>
      </c>
      <c r="AG709" s="1237">
        <f t="shared" si="330"/>
        <v>4392</v>
      </c>
      <c r="AH709" s="17">
        <f>Q709</f>
        <v>1</v>
      </c>
      <c r="AI709" s="1238">
        <f>AE709</f>
        <v>27712</v>
      </c>
    </row>
    <row r="710" spans="1:35" x14ac:dyDescent="0.2">
      <c r="A710" s="16"/>
      <c r="B710" s="16"/>
      <c r="C710" s="1233"/>
      <c r="D710" s="12"/>
      <c r="E710" s="12"/>
      <c r="F710" s="12"/>
      <c r="G710" s="12"/>
      <c r="H710" s="12"/>
      <c r="I710" s="1233"/>
      <c r="J710" s="12"/>
      <c r="K710" s="1233"/>
      <c r="L710" s="1233"/>
      <c r="M710" s="12"/>
      <c r="N710" s="1234"/>
      <c r="O710" s="1235"/>
      <c r="P710" s="1232"/>
      <c r="Q710" s="16"/>
      <c r="R710" s="1233"/>
      <c r="S710" s="12"/>
      <c r="T710" s="12"/>
      <c r="U710" s="12"/>
      <c r="V710" s="12"/>
      <c r="W710" s="12"/>
      <c r="X710" s="1233"/>
      <c r="Y710" s="12"/>
      <c r="Z710" s="1233"/>
      <c r="AA710" s="1233"/>
      <c r="AB710" s="12"/>
      <c r="AC710" s="1234"/>
      <c r="AD710" s="1235"/>
      <c r="AE710" s="1232"/>
      <c r="AF710" s="1236"/>
      <c r="AG710" s="1237"/>
      <c r="AH710" s="17"/>
      <c r="AI710" s="16"/>
    </row>
    <row r="711" spans="1:35" x14ac:dyDescent="0.2">
      <c r="A711" s="16" t="s">
        <v>6</v>
      </c>
      <c r="B711" s="16"/>
      <c r="C711" s="1233"/>
      <c r="D711" s="12"/>
      <c r="E711" s="12"/>
      <c r="F711" s="12"/>
      <c r="G711" s="12"/>
      <c r="H711" s="12"/>
      <c r="I711" s="1233"/>
      <c r="J711" s="12"/>
      <c r="K711" s="1233"/>
      <c r="L711" s="1233"/>
      <c r="M711" s="12"/>
      <c r="N711" s="1234"/>
      <c r="O711" s="1235"/>
      <c r="P711" s="1232"/>
      <c r="Q711" s="16"/>
      <c r="R711" s="1233"/>
      <c r="S711" s="12"/>
      <c r="T711" s="12"/>
      <c r="U711" s="12"/>
      <c r="V711" s="12"/>
      <c r="W711" s="12"/>
      <c r="X711" s="1233"/>
      <c r="Y711" s="12"/>
      <c r="Z711" s="1233"/>
      <c r="AA711" s="1233"/>
      <c r="AB711" s="12"/>
      <c r="AC711" s="1234"/>
      <c r="AD711" s="1235"/>
      <c r="AE711" s="1232"/>
      <c r="AF711" s="1236"/>
      <c r="AG711" s="1237"/>
      <c r="AH711" s="17"/>
      <c r="AI711" s="16"/>
    </row>
    <row r="712" spans="1:35" x14ac:dyDescent="0.2">
      <c r="A712" s="16" t="s">
        <v>1441</v>
      </c>
      <c r="B712" s="16">
        <v>2</v>
      </c>
      <c r="C712" s="1233">
        <v>1834</v>
      </c>
      <c r="D712" s="12"/>
      <c r="E712" s="12"/>
      <c r="F712" s="12"/>
      <c r="G712" s="12"/>
      <c r="H712" s="12"/>
      <c r="I712" s="1233">
        <v>0</v>
      </c>
      <c r="J712" s="12"/>
      <c r="K712" s="1233">
        <f t="shared" ref="K712" si="331">SUM(C712:J712)</f>
        <v>1834</v>
      </c>
      <c r="L712" s="1233">
        <v>0</v>
      </c>
      <c r="M712" s="12"/>
      <c r="N712" s="1234">
        <f t="shared" ref="N712" si="332">SUM(L712:M712)</f>
        <v>0</v>
      </c>
      <c r="O712" s="1235">
        <f t="shared" ref="O712:O723" si="333">K712*12+N712</f>
        <v>22008</v>
      </c>
      <c r="P712" s="1232">
        <f t="shared" ref="P712:P723" si="334">O712*B712</f>
        <v>44016</v>
      </c>
      <c r="Q712" s="16">
        <v>1</v>
      </c>
      <c r="R712" s="1233">
        <v>2068</v>
      </c>
      <c r="S712" s="12"/>
      <c r="T712" s="12"/>
      <c r="U712" s="12"/>
      <c r="V712" s="12"/>
      <c r="W712" s="12"/>
      <c r="X712" s="1233">
        <v>158</v>
      </c>
      <c r="Y712" s="12"/>
      <c r="Z712" s="1233">
        <f t="shared" ref="Z712" si="335">SUM(R712:Y712)</f>
        <v>2226</v>
      </c>
      <c r="AA712" s="1233">
        <v>1000</v>
      </c>
      <c r="AB712" s="12"/>
      <c r="AC712" s="1234">
        <f t="shared" ref="AC712" si="336">SUM(AA712:AB712)</f>
        <v>1000</v>
      </c>
      <c r="AD712" s="1235">
        <f t="shared" ref="AD712:AD713" si="337">Z712*12+AC712</f>
        <v>27712</v>
      </c>
      <c r="AE712" s="1232">
        <f t="shared" ref="AE712" si="338">AD712*Q712</f>
        <v>27712</v>
      </c>
      <c r="AF712" s="1236">
        <f t="shared" ref="AF712:AG712" si="339">AD712-O712</f>
        <v>5704</v>
      </c>
      <c r="AG712" s="1237">
        <f t="shared" si="339"/>
        <v>-16304</v>
      </c>
      <c r="AH712" s="17">
        <f t="shared" ref="AH712:AH713" si="340">Q712</f>
        <v>1</v>
      </c>
      <c r="AI712" s="1238">
        <f t="shared" ref="AI712:AI713" si="341">AE712</f>
        <v>27712</v>
      </c>
    </row>
    <row r="713" spans="1:35" x14ac:dyDescent="0.2">
      <c r="A713" s="16" t="s">
        <v>1443</v>
      </c>
      <c r="B713" s="16">
        <v>5</v>
      </c>
      <c r="C713" s="1233">
        <v>1834</v>
      </c>
      <c r="D713" s="12"/>
      <c r="E713" s="12"/>
      <c r="F713" s="12"/>
      <c r="G713" s="12"/>
      <c r="H713" s="12"/>
      <c r="I713" s="1233">
        <v>0</v>
      </c>
      <c r="J713" s="12"/>
      <c r="K713" s="1233">
        <f t="shared" si="324"/>
        <v>1834</v>
      </c>
      <c r="L713" s="1233">
        <v>1000</v>
      </c>
      <c r="M713" s="12"/>
      <c r="N713" s="1234">
        <f t="shared" si="294"/>
        <v>1000</v>
      </c>
      <c r="O713" s="1235">
        <f t="shared" si="333"/>
        <v>23008</v>
      </c>
      <c r="P713" s="1232">
        <f t="shared" si="334"/>
        <v>115040</v>
      </c>
      <c r="Q713" s="16">
        <v>6</v>
      </c>
      <c r="R713" s="1233">
        <v>2041</v>
      </c>
      <c r="S713" s="12"/>
      <c r="T713" s="12"/>
      <c r="U713" s="12"/>
      <c r="V713" s="12"/>
      <c r="W713" s="12"/>
      <c r="X713" s="1233">
        <v>158</v>
      </c>
      <c r="Y713" s="12"/>
      <c r="Z713" s="1233">
        <f t="shared" si="327"/>
        <v>2199</v>
      </c>
      <c r="AA713" s="1233">
        <v>1000</v>
      </c>
      <c r="AB713" s="12"/>
      <c r="AC713" s="1234">
        <f t="shared" si="328"/>
        <v>1000</v>
      </c>
      <c r="AD713" s="1235">
        <f t="shared" si="337"/>
        <v>27388</v>
      </c>
      <c r="AE713" s="1232">
        <f>(AD713*Q713)-1278.99</f>
        <v>163049.01</v>
      </c>
      <c r="AF713" s="1236">
        <f t="shared" si="330"/>
        <v>4380</v>
      </c>
      <c r="AG713" s="1237">
        <f t="shared" si="330"/>
        <v>48009.010000000009</v>
      </c>
      <c r="AH713" s="17">
        <f t="shared" si="340"/>
        <v>6</v>
      </c>
      <c r="AI713" s="1238">
        <f t="shared" si="341"/>
        <v>163049.01</v>
      </c>
    </row>
    <row r="714" spans="1:35" x14ac:dyDescent="0.2">
      <c r="A714" s="16"/>
      <c r="B714" s="16"/>
      <c r="C714" s="12"/>
      <c r="D714" s="12"/>
      <c r="E714" s="12"/>
      <c r="F714" s="12"/>
      <c r="G714" s="12"/>
      <c r="H714" s="12"/>
      <c r="I714" s="12"/>
      <c r="J714" s="12"/>
      <c r="K714" s="1233"/>
      <c r="L714" s="12"/>
      <c r="M714" s="12"/>
      <c r="N714" s="1234"/>
      <c r="O714" s="1235"/>
      <c r="P714" s="1232"/>
      <c r="Q714" s="16"/>
      <c r="R714" s="12"/>
      <c r="S714" s="12"/>
      <c r="T714" s="12"/>
      <c r="U714" s="12"/>
      <c r="V714" s="12"/>
      <c r="W714" s="12"/>
      <c r="X714" s="12"/>
      <c r="Y714" s="12"/>
      <c r="Z714" s="1233"/>
      <c r="AA714" s="12"/>
      <c r="AB714" s="12"/>
      <c r="AC714" s="1234"/>
      <c r="AD714" s="1235"/>
      <c r="AE714" s="1232"/>
      <c r="AF714" s="17"/>
      <c r="AG714" s="16"/>
      <c r="AH714" s="17"/>
      <c r="AI714" s="16"/>
    </row>
    <row r="715" spans="1:35" x14ac:dyDescent="0.2">
      <c r="A715" s="1231" t="s">
        <v>61</v>
      </c>
      <c r="B715" s="16"/>
      <c r="C715" s="12"/>
      <c r="D715" s="12"/>
      <c r="E715" s="12"/>
      <c r="F715" s="12"/>
      <c r="G715" s="12"/>
      <c r="H715" s="12"/>
      <c r="I715" s="12"/>
      <c r="J715" s="12"/>
      <c r="K715" s="1233"/>
      <c r="L715" s="12"/>
      <c r="M715" s="12"/>
      <c r="N715" s="1234"/>
      <c r="O715" s="1235"/>
      <c r="P715" s="1232"/>
      <c r="Q715" s="16"/>
      <c r="R715" s="12"/>
      <c r="S715" s="12"/>
      <c r="T715" s="12"/>
      <c r="U715" s="12"/>
      <c r="V715" s="12"/>
      <c r="W715" s="12"/>
      <c r="X715" s="12"/>
      <c r="Y715" s="12"/>
      <c r="Z715" s="1233"/>
      <c r="AA715" s="12"/>
      <c r="AB715" s="12"/>
      <c r="AC715" s="1234"/>
      <c r="AD715" s="1235"/>
      <c r="AE715" s="1232"/>
      <c r="AF715" s="17"/>
      <c r="AG715" s="16"/>
      <c r="AH715" s="17"/>
      <c r="AI715" s="16"/>
    </row>
    <row r="716" spans="1:35" x14ac:dyDescent="0.2">
      <c r="A716" s="16" t="s">
        <v>2618</v>
      </c>
      <c r="B716" s="16"/>
      <c r="C716" s="12"/>
      <c r="D716" s="12"/>
      <c r="E716" s="12"/>
      <c r="F716" s="12"/>
      <c r="G716" s="12"/>
      <c r="H716" s="12"/>
      <c r="I716" s="12"/>
      <c r="J716" s="12"/>
      <c r="K716" s="1233"/>
      <c r="L716" s="12"/>
      <c r="M716" s="12"/>
      <c r="N716" s="1234"/>
      <c r="O716" s="1235"/>
      <c r="P716" s="1232"/>
      <c r="Q716" s="16"/>
      <c r="R716" s="12"/>
      <c r="S716" s="12"/>
      <c r="T716" s="12"/>
      <c r="U716" s="12"/>
      <c r="V716" s="12"/>
      <c r="W716" s="12"/>
      <c r="X716" s="12"/>
      <c r="Y716" s="12"/>
      <c r="Z716" s="1233"/>
      <c r="AA716" s="12"/>
      <c r="AB716" s="12"/>
      <c r="AC716" s="1234"/>
      <c r="AD716" s="1235"/>
      <c r="AE716" s="1232"/>
      <c r="AF716" s="17"/>
      <c r="AG716" s="16"/>
      <c r="AH716" s="17"/>
      <c r="AI716" s="16"/>
    </row>
    <row r="717" spans="1:35" x14ac:dyDescent="0.2">
      <c r="A717" s="16" t="s">
        <v>1471</v>
      </c>
      <c r="B717" s="16">
        <v>1</v>
      </c>
      <c r="C717" s="1233">
        <v>6193</v>
      </c>
      <c r="D717" s="12"/>
      <c r="E717" s="12"/>
      <c r="F717" s="12"/>
      <c r="G717" s="12"/>
      <c r="H717" s="12"/>
      <c r="I717" s="12">
        <v>630.25</v>
      </c>
      <c r="J717" s="12"/>
      <c r="K717" s="1233">
        <f t="shared" ref="K717" si="342">SUM(C717:J717)</f>
        <v>6823.25</v>
      </c>
      <c r="L717" s="1233">
        <v>1000</v>
      </c>
      <c r="M717" s="12"/>
      <c r="N717" s="1234">
        <f t="shared" ref="N717" si="343">SUM(L717:M717)</f>
        <v>1000</v>
      </c>
      <c r="O717" s="1235">
        <f t="shared" ref="O717" si="344">K717*12+N717</f>
        <v>82879</v>
      </c>
      <c r="P717" s="1232">
        <f t="shared" ref="P717" si="345">O717*B717</f>
        <v>82879</v>
      </c>
      <c r="Q717" s="16">
        <v>0</v>
      </c>
      <c r="R717" s="1233">
        <v>0</v>
      </c>
      <c r="S717" s="12"/>
      <c r="T717" s="12"/>
      <c r="U717" s="12"/>
      <c r="V717" s="12"/>
      <c r="W717" s="12"/>
      <c r="X717" s="1233">
        <v>0</v>
      </c>
      <c r="Y717" s="12"/>
      <c r="Z717" s="1233">
        <f t="shared" ref="Z717" si="346">SUM(R717:Y717)</f>
        <v>0</v>
      </c>
      <c r="AA717" s="1233">
        <v>0</v>
      </c>
      <c r="AB717" s="12"/>
      <c r="AC717" s="1234">
        <f t="shared" ref="AC717:AC718" si="347">SUM(AA717:AB717)</f>
        <v>0</v>
      </c>
      <c r="AD717" s="1235">
        <f t="shared" ref="AD717:AD718" si="348">Z717*12+AC717</f>
        <v>0</v>
      </c>
      <c r="AE717" s="1232">
        <f t="shared" ref="AE717:AE718" si="349">AD717*Q717</f>
        <v>0</v>
      </c>
      <c r="AF717" s="1236">
        <f t="shared" ref="AF717:AG718" si="350">AD717-O717</f>
        <v>-82879</v>
      </c>
      <c r="AG717" s="1237">
        <f t="shared" si="350"/>
        <v>-82879</v>
      </c>
      <c r="AH717" s="17"/>
      <c r="AI717" s="1238"/>
    </row>
    <row r="718" spans="1:35" x14ac:dyDescent="0.2">
      <c r="A718" s="16" t="s">
        <v>1488</v>
      </c>
      <c r="B718" s="16">
        <v>1</v>
      </c>
      <c r="C718" s="1233">
        <v>5025</v>
      </c>
      <c r="D718" s="12"/>
      <c r="E718" s="12"/>
      <c r="F718" s="12"/>
      <c r="G718" s="12"/>
      <c r="H718" s="12"/>
      <c r="I718" s="12">
        <v>630.25</v>
      </c>
      <c r="J718" s="12"/>
      <c r="K718" s="1233">
        <f t="shared" ref="K718" si="351">SUM(C718:J718)</f>
        <v>5655.25</v>
      </c>
      <c r="L718" s="1233">
        <v>1000</v>
      </c>
      <c r="M718" s="12"/>
      <c r="N718" s="1234">
        <f t="shared" si="294"/>
        <v>1000</v>
      </c>
      <c r="O718" s="1235">
        <f t="shared" si="333"/>
        <v>68863</v>
      </c>
      <c r="P718" s="1232">
        <f t="shared" si="334"/>
        <v>68863</v>
      </c>
      <c r="Q718" s="16">
        <v>2</v>
      </c>
      <c r="R718" s="1233">
        <v>5532</v>
      </c>
      <c r="S718" s="12"/>
      <c r="T718" s="12"/>
      <c r="U718" s="12"/>
      <c r="V718" s="12"/>
      <c r="W718" s="12"/>
      <c r="X718" s="12"/>
      <c r="Y718" s="12"/>
      <c r="Z718" s="1233">
        <f>SUM(R718:Y718)</f>
        <v>5532</v>
      </c>
      <c r="AA718" s="1233">
        <v>1000</v>
      </c>
      <c r="AB718" s="12"/>
      <c r="AC718" s="1234">
        <f t="shared" si="347"/>
        <v>1000</v>
      </c>
      <c r="AD718" s="1235">
        <f t="shared" si="348"/>
        <v>67384</v>
      </c>
      <c r="AE718" s="1232">
        <f t="shared" si="349"/>
        <v>134768</v>
      </c>
      <c r="AF718" s="1236">
        <f t="shared" si="350"/>
        <v>-1479</v>
      </c>
      <c r="AG718" s="1237">
        <f t="shared" si="350"/>
        <v>65905</v>
      </c>
      <c r="AH718" s="17">
        <f t="shared" ref="AH718" si="352">Q718</f>
        <v>2</v>
      </c>
      <c r="AI718" s="1238">
        <f>AE718+900*2*12</f>
        <v>156368</v>
      </c>
    </row>
    <row r="719" spans="1:35" x14ac:dyDescent="0.2">
      <c r="A719" s="16"/>
      <c r="B719" s="16"/>
      <c r="C719" s="12"/>
      <c r="D719" s="12"/>
      <c r="E719" s="12"/>
      <c r="F719" s="12"/>
      <c r="G719" s="12"/>
      <c r="H719" s="12"/>
      <c r="I719" s="12"/>
      <c r="J719" s="12"/>
      <c r="K719" s="1233"/>
      <c r="L719" s="12"/>
      <c r="M719" s="12"/>
      <c r="N719" s="1234"/>
      <c r="O719" s="1235"/>
      <c r="P719" s="1232"/>
      <c r="Q719" s="16"/>
      <c r="R719" s="12"/>
      <c r="S719" s="12"/>
      <c r="T719" s="12"/>
      <c r="U719" s="12"/>
      <c r="V719" s="12"/>
      <c r="W719" s="12"/>
      <c r="X719" s="12"/>
      <c r="Y719" s="12"/>
      <c r="Z719" s="1233"/>
      <c r="AA719" s="12"/>
      <c r="AB719" s="12"/>
      <c r="AC719" s="1234"/>
      <c r="AD719" s="1235"/>
      <c r="AE719" s="1232"/>
      <c r="AF719" s="17"/>
      <c r="AG719" s="16"/>
      <c r="AH719" s="17"/>
      <c r="AI719" s="16"/>
    </row>
    <row r="720" spans="1:35" x14ac:dyDescent="0.2">
      <c r="A720" s="16" t="s">
        <v>1828</v>
      </c>
      <c r="B720" s="16"/>
      <c r="C720" s="12"/>
      <c r="D720" s="12"/>
      <c r="E720" s="12"/>
      <c r="F720" s="12"/>
      <c r="G720" s="12"/>
      <c r="H720" s="12"/>
      <c r="I720" s="12"/>
      <c r="J720" s="12"/>
      <c r="K720" s="1233"/>
      <c r="L720" s="12"/>
      <c r="M720" s="12"/>
      <c r="N720" s="1234"/>
      <c r="O720" s="1235"/>
      <c r="P720" s="1232"/>
      <c r="Q720" s="16"/>
      <c r="R720" s="12"/>
      <c r="S720" s="12"/>
      <c r="T720" s="12"/>
      <c r="U720" s="12"/>
      <c r="V720" s="12"/>
      <c r="W720" s="12"/>
      <c r="X720" s="12"/>
      <c r="Y720" s="12"/>
      <c r="Z720" s="1233"/>
      <c r="AA720" s="12"/>
      <c r="AB720" s="12"/>
      <c r="AC720" s="1234"/>
      <c r="AD720" s="1235"/>
      <c r="AE720" s="1232"/>
      <c r="AF720" s="17"/>
      <c r="AG720" s="16"/>
      <c r="AH720" s="17"/>
      <c r="AI720" s="16"/>
    </row>
    <row r="721" spans="1:35" x14ac:dyDescent="0.2">
      <c r="A721" s="16" t="s">
        <v>4112</v>
      </c>
      <c r="B721" s="16">
        <v>0</v>
      </c>
      <c r="C721" s="1233">
        <v>0</v>
      </c>
      <c r="D721" s="12"/>
      <c r="E721" s="12"/>
      <c r="F721" s="12"/>
      <c r="G721" s="12"/>
      <c r="H721" s="12"/>
      <c r="I721" s="12"/>
      <c r="J721" s="12"/>
      <c r="K721" s="1233">
        <f t="shared" ref="K721" si="353">SUM(C721:J721)</f>
        <v>0</v>
      </c>
      <c r="L721" s="1233">
        <v>0</v>
      </c>
      <c r="M721" s="12"/>
      <c r="N721" s="1234">
        <f t="shared" si="294"/>
        <v>0</v>
      </c>
      <c r="O721" s="1235">
        <f t="shared" si="333"/>
        <v>0</v>
      </c>
      <c r="P721" s="1232">
        <f t="shared" si="334"/>
        <v>0</v>
      </c>
      <c r="Q721" s="16">
        <v>1</v>
      </c>
      <c r="R721" s="1233">
        <v>4471</v>
      </c>
      <c r="S721" s="12"/>
      <c r="T721" s="12"/>
      <c r="U721" s="12"/>
      <c r="V721" s="12"/>
      <c r="W721" s="12"/>
      <c r="X721" s="12"/>
      <c r="Y721" s="12"/>
      <c r="Z721" s="1233">
        <f>SUM(R721:Y721)</f>
        <v>4471</v>
      </c>
      <c r="AA721" s="1233">
        <v>1000</v>
      </c>
      <c r="AB721" s="12"/>
      <c r="AC721" s="1234">
        <f t="shared" ref="AC721" si="354">SUM(AA721:AB721)</f>
        <v>1000</v>
      </c>
      <c r="AD721" s="1235">
        <f t="shared" ref="AD721:AD722" si="355">Z721*12+AC721</f>
        <v>54652</v>
      </c>
      <c r="AE721" s="1232">
        <f t="shared" ref="AE721:AE722" si="356">AD721*Q721</f>
        <v>54652</v>
      </c>
      <c r="AF721" s="1236">
        <f t="shared" ref="AF721:AG722" si="357">AD721-O721</f>
        <v>54652</v>
      </c>
      <c r="AG721" s="1237">
        <f t="shared" si="357"/>
        <v>54652</v>
      </c>
      <c r="AH721" s="17">
        <f t="shared" ref="AH721" si="358">Q721</f>
        <v>1</v>
      </c>
      <c r="AI721" s="1238">
        <f t="shared" ref="AI721" si="359">AE721</f>
        <v>54652</v>
      </c>
    </row>
    <row r="722" spans="1:35" x14ac:dyDescent="0.2">
      <c r="A722" s="16" t="s">
        <v>4113</v>
      </c>
      <c r="B722" s="16">
        <v>1</v>
      </c>
      <c r="C722" s="1233">
        <v>2689</v>
      </c>
      <c r="D722" s="12"/>
      <c r="E722" s="12"/>
      <c r="F722" s="12"/>
      <c r="G722" s="12"/>
      <c r="H722" s="12"/>
      <c r="I722" s="12"/>
      <c r="J722" s="12"/>
      <c r="K722" s="1233">
        <f t="shared" ref="K722" si="360">SUM(C722:J722)</f>
        <v>2689</v>
      </c>
      <c r="L722" s="1233">
        <v>1000</v>
      </c>
      <c r="M722" s="12"/>
      <c r="N722" s="1234">
        <f t="shared" ref="N722" si="361">SUM(L722:M722)</f>
        <v>1000</v>
      </c>
      <c r="O722" s="1235">
        <f t="shared" si="333"/>
        <v>33268</v>
      </c>
      <c r="P722" s="1232">
        <f t="shared" si="334"/>
        <v>33268</v>
      </c>
      <c r="Q722" s="16">
        <v>0</v>
      </c>
      <c r="R722" s="1233">
        <v>0</v>
      </c>
      <c r="S722" s="12"/>
      <c r="T722" s="12"/>
      <c r="U722" s="12"/>
      <c r="V722" s="12"/>
      <c r="W722" s="12"/>
      <c r="X722" s="12"/>
      <c r="Y722" s="12"/>
      <c r="Z722" s="1233">
        <f>SUM(R722:Y722)</f>
        <v>0</v>
      </c>
      <c r="AA722" s="1233">
        <v>0</v>
      </c>
      <c r="AB722" s="12"/>
      <c r="AC722" s="1234">
        <f t="shared" ref="AC722" si="362">SUM(AA722:AB722)</f>
        <v>0</v>
      </c>
      <c r="AD722" s="1235">
        <f t="shared" si="355"/>
        <v>0</v>
      </c>
      <c r="AE722" s="1232">
        <f t="shared" si="356"/>
        <v>0</v>
      </c>
      <c r="AF722" s="1236">
        <f t="shared" si="357"/>
        <v>-33268</v>
      </c>
      <c r="AG722" s="1237">
        <f t="shared" si="357"/>
        <v>-33268</v>
      </c>
      <c r="AH722" s="17"/>
      <c r="AI722" s="1238"/>
    </row>
    <row r="723" spans="1:35" x14ac:dyDescent="0.2">
      <c r="A723" s="16"/>
      <c r="B723" s="16"/>
      <c r="C723" s="12"/>
      <c r="D723" s="12"/>
      <c r="E723" s="12"/>
      <c r="F723" s="12"/>
      <c r="G723" s="12"/>
      <c r="H723" s="12"/>
      <c r="I723" s="12"/>
      <c r="J723" s="12"/>
      <c r="K723" s="1233">
        <f t="shared" ref="K723" si="363">SUM(B723:J723)</f>
        <v>0</v>
      </c>
      <c r="L723" s="12"/>
      <c r="M723" s="12"/>
      <c r="N723" s="1234">
        <f t="shared" si="294"/>
        <v>0</v>
      </c>
      <c r="O723" s="1235">
        <f t="shared" si="333"/>
        <v>0</v>
      </c>
      <c r="P723" s="1232">
        <f t="shared" si="334"/>
        <v>0</v>
      </c>
      <c r="Q723" s="16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62"/>
      <c r="AD723" s="62"/>
      <c r="AE723" s="17"/>
      <c r="AF723" s="17"/>
      <c r="AG723" s="16"/>
      <c r="AH723" s="17"/>
      <c r="AI723" s="16"/>
    </row>
    <row r="724" spans="1:35" ht="12.75" thickBot="1" x14ac:dyDescent="0.25">
      <c r="A724" s="102" t="s">
        <v>0</v>
      </c>
      <c r="B724" s="138">
        <f>SUM(B685:B723)</f>
        <v>38</v>
      </c>
      <c r="C724" s="1239"/>
      <c r="D724" s="1239"/>
      <c r="E724" s="1239"/>
      <c r="F724" s="1239"/>
      <c r="G724" s="1239"/>
      <c r="H724" s="1239"/>
      <c r="I724" s="1239"/>
      <c r="J724" s="1239"/>
      <c r="K724" s="1239"/>
      <c r="L724" s="1239"/>
      <c r="M724" s="1239"/>
      <c r="N724" s="1239"/>
      <c r="O724" s="1239"/>
      <c r="P724" s="1239">
        <f>SUM(P685:P723)</f>
        <v>1194387.3599999999</v>
      </c>
      <c r="Q724" s="138">
        <f>SUM(Q685:Q723)</f>
        <v>37</v>
      </c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239"/>
      <c r="AE724" s="1239">
        <f>SUM(AE685:AE723)</f>
        <v>1206414.97</v>
      </c>
      <c r="AF724" s="138"/>
      <c r="AG724" s="1239">
        <f>SUM(AG685:AG723)</f>
        <v>12027.610000000059</v>
      </c>
      <c r="AH724" s="138">
        <f>SUM(AH685:AH723)</f>
        <v>37</v>
      </c>
      <c r="AI724" s="1239">
        <f>SUM(AI685:AI723)</f>
        <v>1228014.97</v>
      </c>
    </row>
    <row r="725" spans="1:35" x14ac:dyDescent="0.2">
      <c r="A725" s="162" t="s">
        <v>73</v>
      </c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H725" s="162"/>
      <c r="AI725" s="162"/>
    </row>
    <row r="726" spans="1:35" x14ac:dyDescent="0.2">
      <c r="A726" s="162" t="s">
        <v>74</v>
      </c>
      <c r="B726" s="162" t="s">
        <v>168</v>
      </c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H726" s="162"/>
      <c r="AI726" s="162"/>
    </row>
    <row r="727" spans="1:35" x14ac:dyDescent="0.2">
      <c r="A727" s="162" t="s">
        <v>75</v>
      </c>
      <c r="B727" s="162" t="s">
        <v>76</v>
      </c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H727" s="162"/>
      <c r="AI727" s="162"/>
    </row>
    <row r="728" spans="1:35" x14ac:dyDescent="0.2">
      <c r="A728" s="162" t="s">
        <v>77</v>
      </c>
      <c r="B728" s="162" t="s">
        <v>78</v>
      </c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H728" s="162"/>
      <c r="AI728" s="162"/>
    </row>
    <row r="729" spans="1:35" x14ac:dyDescent="0.2">
      <c r="A729" s="162" t="s">
        <v>79</v>
      </c>
      <c r="B729" s="162" t="s">
        <v>80</v>
      </c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H729" s="162"/>
      <c r="AI729" s="162"/>
    </row>
    <row r="730" spans="1:35" x14ac:dyDescent="0.2">
      <c r="A730" s="162"/>
      <c r="B730" s="162" t="s">
        <v>81</v>
      </c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H730" s="162"/>
      <c r="AI730" s="162"/>
    </row>
    <row r="731" spans="1:35" x14ac:dyDescent="0.2">
      <c r="A731" s="162" t="s">
        <v>82</v>
      </c>
      <c r="B731" s="162" t="s">
        <v>159</v>
      </c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H731" s="162"/>
      <c r="AI731" s="162"/>
    </row>
    <row r="732" spans="1:35" x14ac:dyDescent="0.2">
      <c r="A732" s="162"/>
      <c r="B732" s="162" t="s">
        <v>83</v>
      </c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H732" s="162"/>
      <c r="AI732" s="162"/>
    </row>
    <row r="733" spans="1:35" x14ac:dyDescent="0.2">
      <c r="A733" s="162"/>
      <c r="B733" s="162" t="s">
        <v>84</v>
      </c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H733" s="162"/>
      <c r="AI733" s="162"/>
    </row>
    <row r="734" spans="1:35" x14ac:dyDescent="0.2">
      <c r="A734" s="162"/>
      <c r="B734" s="162" t="s">
        <v>85</v>
      </c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H734" s="162"/>
      <c r="AI734" s="162"/>
    </row>
    <row r="735" spans="1:35" x14ac:dyDescent="0.2">
      <c r="A735" s="162" t="s">
        <v>194</v>
      </c>
      <c r="B735" s="162" t="s">
        <v>195</v>
      </c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H735" s="162"/>
      <c r="AI735" s="162"/>
    </row>
    <row r="736" spans="1:35" x14ac:dyDescent="0.2">
      <c r="A736" s="162" t="s">
        <v>196</v>
      </c>
      <c r="B736" s="162" t="s">
        <v>164</v>
      </c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H736" s="162"/>
      <c r="AI736" s="162"/>
    </row>
    <row r="737" spans="1:35" x14ac:dyDescent="0.2">
      <c r="A737" s="162" t="s">
        <v>197</v>
      </c>
      <c r="B737" s="162" t="s">
        <v>160</v>
      </c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H737" s="162"/>
      <c r="AI737" s="162"/>
    </row>
    <row r="738" spans="1:35" x14ac:dyDescent="0.2">
      <c r="A738" s="162"/>
      <c r="B738" s="162" t="s">
        <v>83</v>
      </c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H738" s="162"/>
      <c r="AI738" s="162"/>
    </row>
    <row r="739" spans="1:35" x14ac:dyDescent="0.2">
      <c r="A739" s="162"/>
      <c r="B739" s="162" t="s">
        <v>84</v>
      </c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H739" s="162"/>
      <c r="AI739" s="162"/>
    </row>
    <row r="740" spans="1:35" x14ac:dyDescent="0.2">
      <c r="A740" s="162"/>
      <c r="B740" s="162" t="s">
        <v>123</v>
      </c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H740" s="162"/>
      <c r="AI740" s="162"/>
    </row>
    <row r="741" spans="1:35" x14ac:dyDescent="0.2">
      <c r="A741" s="162" t="s">
        <v>206</v>
      </c>
      <c r="B741" s="162" t="s">
        <v>207</v>
      </c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H741" s="162"/>
      <c r="AI741" s="162"/>
    </row>
    <row r="742" spans="1:35" x14ac:dyDescent="0.2">
      <c r="A742" s="162" t="s">
        <v>204</v>
      </c>
      <c r="B742" s="162" t="s">
        <v>200</v>
      </c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H742" s="162"/>
      <c r="AI742" s="162"/>
    </row>
    <row r="743" spans="1:35" x14ac:dyDescent="0.2">
      <c r="A743" s="162" t="s">
        <v>205</v>
      </c>
      <c r="B743" s="162" t="s">
        <v>208</v>
      </c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H743" s="162"/>
      <c r="AI743" s="162"/>
    </row>
    <row r="744" spans="1:35" x14ac:dyDescent="0.2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H744" s="162"/>
      <c r="AI744" s="162"/>
    </row>
  </sheetData>
  <mergeCells count="42">
    <mergeCell ref="A682:A684"/>
    <mergeCell ref="B682:P682"/>
    <mergeCell ref="Q682:AE682"/>
    <mergeCell ref="AF682:AG682"/>
    <mergeCell ref="AH682:AI682"/>
    <mergeCell ref="A587:A589"/>
    <mergeCell ref="B587:P587"/>
    <mergeCell ref="Q587:AE587"/>
    <mergeCell ref="AF587:AG587"/>
    <mergeCell ref="AH587:AI587"/>
    <mergeCell ref="A519:A521"/>
    <mergeCell ref="B519:P519"/>
    <mergeCell ref="Q519:AE519"/>
    <mergeCell ref="AF519:AG519"/>
    <mergeCell ref="AH519:AI519"/>
    <mergeCell ref="A382:A384"/>
    <mergeCell ref="B382:P382"/>
    <mergeCell ref="Q382:AE382"/>
    <mergeCell ref="AF382:AG382"/>
    <mergeCell ref="AH382:AI382"/>
    <mergeCell ref="A261:A263"/>
    <mergeCell ref="B261:P261"/>
    <mergeCell ref="Q261:AE261"/>
    <mergeCell ref="AF261:AG261"/>
    <mergeCell ref="AH261:AI261"/>
    <mergeCell ref="A161:A163"/>
    <mergeCell ref="B161:P161"/>
    <mergeCell ref="Q161:AE161"/>
    <mergeCell ref="AF161:AG161"/>
    <mergeCell ref="AH161:AI161"/>
    <mergeCell ref="AF162:AF163"/>
    <mergeCell ref="AG162:AG163"/>
    <mergeCell ref="A88:A90"/>
    <mergeCell ref="B88:P88"/>
    <mergeCell ref="Q88:AE88"/>
    <mergeCell ref="AF88:AG88"/>
    <mergeCell ref="AH88:AI88"/>
    <mergeCell ref="AH4:AI4"/>
    <mergeCell ref="A4:A6"/>
    <mergeCell ref="B4:P4"/>
    <mergeCell ref="Q4:AE4"/>
    <mergeCell ref="AF4:AG4"/>
  </mergeCells>
  <phoneticPr fontId="14" type="noConversion"/>
  <printOptions horizontalCentered="1"/>
  <pageMargins left="0.25" right="0.25" top="0.75" bottom="0.75" header="0.3" footer="0.3"/>
  <pageSetup paperSize="9" scale="10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66BDD-D798-44CB-A17F-FA8235F79B3E}">
  <sheetPr>
    <tabColor theme="4"/>
    <pageSetUpPr fitToPage="1"/>
  </sheetPr>
  <dimension ref="A1:U31"/>
  <sheetViews>
    <sheetView view="pageLayout" zoomScaleNormal="100" zoomScaleSheetLayoutView="80" workbookViewId="0">
      <selection activeCell="A2" sqref="A2"/>
    </sheetView>
  </sheetViews>
  <sheetFormatPr baseColWidth="10" defaultColWidth="11.42578125" defaultRowHeight="12" x14ac:dyDescent="0.2"/>
  <cols>
    <col min="1" max="1" width="46" style="162" customWidth="1"/>
    <col min="2" max="2" width="12.140625" style="162" customWidth="1"/>
    <col min="3" max="3" width="10.5703125" style="162" customWidth="1"/>
    <col min="4" max="4" width="11.85546875" style="162" customWidth="1"/>
    <col min="5" max="6" width="12.7109375" style="162" customWidth="1"/>
    <col min="7" max="7" width="12.5703125" style="162" customWidth="1"/>
    <col min="8" max="8" width="11.5703125" style="162" customWidth="1"/>
    <col min="9" max="9" width="12" style="162" customWidth="1"/>
    <col min="10" max="10" width="11.140625" style="162" customWidth="1"/>
    <col min="11" max="16384" width="11.42578125" style="162"/>
  </cols>
  <sheetData>
    <row r="1" spans="1:21" s="139" customFormat="1" x14ac:dyDescent="0.2">
      <c r="A1" s="163" t="s">
        <v>425</v>
      </c>
      <c r="B1" s="163"/>
      <c r="C1" s="163"/>
      <c r="D1" s="163"/>
      <c r="E1" s="163"/>
      <c r="F1" s="163"/>
      <c r="G1" s="163"/>
      <c r="H1" s="163"/>
      <c r="I1" s="163"/>
    </row>
    <row r="2" spans="1:21" s="5" customFormat="1" x14ac:dyDescent="0.2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12.75" thickBot="1" x14ac:dyDescent="0.25">
      <c r="A3" s="9"/>
      <c r="B3" s="11"/>
      <c r="E3" s="11"/>
    </row>
    <row r="4" spans="1:21" ht="12" customHeight="1" thickBot="1" x14ac:dyDescent="0.25">
      <c r="A4" s="1518" t="s">
        <v>31</v>
      </c>
      <c r="B4" s="1520" t="s">
        <v>354</v>
      </c>
      <c r="C4" s="1514" t="s">
        <v>426</v>
      </c>
      <c r="D4" s="1512" t="s">
        <v>427</v>
      </c>
      <c r="E4" s="1516" t="s">
        <v>428</v>
      </c>
      <c r="F4" s="1522" t="s">
        <v>429</v>
      </c>
      <c r="G4" s="1512" t="s">
        <v>535</v>
      </c>
      <c r="H4" s="1514" t="s">
        <v>536</v>
      </c>
      <c r="I4" s="1512" t="s">
        <v>537</v>
      </c>
      <c r="J4" s="1516" t="s">
        <v>538</v>
      </c>
    </row>
    <row r="5" spans="1:21" ht="31.5" customHeight="1" thickBot="1" x14ac:dyDescent="0.25">
      <c r="A5" s="1519"/>
      <c r="B5" s="1521"/>
      <c r="C5" s="1515"/>
      <c r="D5" s="1513"/>
      <c r="E5" s="1517"/>
      <c r="F5" s="1523"/>
      <c r="G5" s="1513"/>
      <c r="H5" s="1515"/>
      <c r="I5" s="1513"/>
      <c r="J5" s="1517"/>
    </row>
    <row r="6" spans="1:21" x14ac:dyDescent="0.2">
      <c r="A6" s="460" t="s">
        <v>515</v>
      </c>
      <c r="B6" s="451">
        <v>10018809</v>
      </c>
      <c r="C6" s="451">
        <v>12261940</v>
      </c>
      <c r="D6" s="463">
        <v>10508311</v>
      </c>
      <c r="E6" s="464">
        <v>11444278</v>
      </c>
      <c r="F6" s="451">
        <v>6442176</v>
      </c>
      <c r="G6" s="455">
        <f>+D6-B6</f>
        <v>489502</v>
      </c>
      <c r="H6" s="469">
        <f>+(G6/B6)*100</f>
        <v>4.885830241898014</v>
      </c>
      <c r="I6" s="457">
        <f>+F6-D6</f>
        <v>-4066135</v>
      </c>
      <c r="J6" s="470">
        <f>+(I6/D6)*100</f>
        <v>-38.69446764565685</v>
      </c>
    </row>
    <row r="7" spans="1:21" x14ac:dyDescent="0.2">
      <c r="A7" s="460" t="s">
        <v>516</v>
      </c>
      <c r="B7" s="451">
        <v>2973982</v>
      </c>
      <c r="C7" s="451">
        <v>2537940</v>
      </c>
      <c r="D7" s="465">
        <v>1418459</v>
      </c>
      <c r="E7" s="464">
        <v>1318556</v>
      </c>
      <c r="F7" s="451">
        <v>1312553</v>
      </c>
      <c r="G7" s="455">
        <f t="shared" ref="G7:G25" si="0">+D7-B7</f>
        <v>-1555523</v>
      </c>
      <c r="H7" s="469">
        <f t="shared" ref="H7:H25" si="1">+(G7/B7)*100</f>
        <v>-52.304385164402476</v>
      </c>
      <c r="I7" s="457">
        <f t="shared" ref="I7:I25" si="2">+F7-D7</f>
        <v>-105906</v>
      </c>
      <c r="J7" s="470">
        <f t="shared" ref="J7:J25" si="3">+(I7/D7)*100</f>
        <v>-7.4662714960390115</v>
      </c>
    </row>
    <row r="8" spans="1:21" x14ac:dyDescent="0.2">
      <c r="A8" s="460" t="s">
        <v>517</v>
      </c>
      <c r="B8" s="451">
        <v>272877</v>
      </c>
      <c r="C8" s="451">
        <v>373863</v>
      </c>
      <c r="D8" s="465">
        <v>362205</v>
      </c>
      <c r="E8" s="464">
        <v>313612</v>
      </c>
      <c r="F8" s="451">
        <v>83686</v>
      </c>
      <c r="G8" s="455">
        <f t="shared" si="0"/>
        <v>89328</v>
      </c>
      <c r="H8" s="469">
        <f t="shared" si="1"/>
        <v>32.735628140151057</v>
      </c>
      <c r="I8" s="457">
        <f t="shared" si="2"/>
        <v>-278519</v>
      </c>
      <c r="J8" s="470">
        <f t="shared" si="3"/>
        <v>-76.895404536105247</v>
      </c>
    </row>
    <row r="9" spans="1:21" x14ac:dyDescent="0.2">
      <c r="A9" s="460" t="s">
        <v>518</v>
      </c>
      <c r="B9" s="451">
        <v>6733113</v>
      </c>
      <c r="C9" s="451">
        <v>7600425</v>
      </c>
      <c r="D9" s="465">
        <v>2186866</v>
      </c>
      <c r="E9" s="464">
        <v>2680660</v>
      </c>
      <c r="F9" s="451">
        <v>1135891</v>
      </c>
      <c r="G9" s="455">
        <f t="shared" si="0"/>
        <v>-4546247</v>
      </c>
      <c r="H9" s="469">
        <f t="shared" si="1"/>
        <v>-67.52072926742801</v>
      </c>
      <c r="I9" s="457">
        <f t="shared" si="2"/>
        <v>-1050975</v>
      </c>
      <c r="J9" s="470">
        <f t="shared" si="3"/>
        <v>-48.058500155016361</v>
      </c>
    </row>
    <row r="10" spans="1:21" x14ac:dyDescent="0.2">
      <c r="A10" s="460" t="s">
        <v>519</v>
      </c>
      <c r="B10" s="451">
        <v>24851577</v>
      </c>
      <c r="C10" s="451">
        <v>35729497</v>
      </c>
      <c r="D10" s="465">
        <v>22842611</v>
      </c>
      <c r="E10" s="464">
        <v>22880841</v>
      </c>
      <c r="F10" s="451">
        <v>21962555</v>
      </c>
      <c r="G10" s="455">
        <f t="shared" si="0"/>
        <v>-2008966</v>
      </c>
      <c r="H10" s="469">
        <f t="shared" si="1"/>
        <v>-8.0838572135683773</v>
      </c>
      <c r="I10" s="457">
        <f t="shared" si="2"/>
        <v>-880056</v>
      </c>
      <c r="J10" s="470">
        <f t="shared" si="3"/>
        <v>-3.852694422717263</v>
      </c>
    </row>
    <row r="11" spans="1:21" x14ac:dyDescent="0.2">
      <c r="A11" s="460" t="s">
        <v>520</v>
      </c>
      <c r="B11" s="451">
        <v>5057921</v>
      </c>
      <c r="C11" s="451">
        <v>3429418</v>
      </c>
      <c r="D11" s="465">
        <v>6933074</v>
      </c>
      <c r="E11" s="464">
        <v>4173227</v>
      </c>
      <c r="F11" s="451">
        <v>4393942</v>
      </c>
      <c r="G11" s="455">
        <f t="shared" si="0"/>
        <v>1875153</v>
      </c>
      <c r="H11" s="469">
        <f t="shared" si="1"/>
        <v>37.073592094459364</v>
      </c>
      <c r="I11" s="457">
        <f t="shared" si="2"/>
        <v>-2539132</v>
      </c>
      <c r="J11" s="470">
        <f t="shared" si="3"/>
        <v>-36.623466012334497</v>
      </c>
    </row>
    <row r="12" spans="1:21" x14ac:dyDescent="0.2">
      <c r="A12" s="460" t="s">
        <v>521</v>
      </c>
      <c r="B12" s="451">
        <v>1617512</v>
      </c>
      <c r="C12" s="451">
        <v>3679159</v>
      </c>
      <c r="D12" s="465">
        <v>6922729</v>
      </c>
      <c r="E12" s="464">
        <v>3108338</v>
      </c>
      <c r="F12" s="451">
        <v>2363620</v>
      </c>
      <c r="G12" s="455">
        <f t="shared" si="0"/>
        <v>5305217</v>
      </c>
      <c r="H12" s="469">
        <f t="shared" si="1"/>
        <v>327.98625296133815</v>
      </c>
      <c r="I12" s="457">
        <f t="shared" si="2"/>
        <v>-4559109</v>
      </c>
      <c r="J12" s="470">
        <f t="shared" si="3"/>
        <v>-65.85710635213367</v>
      </c>
    </row>
    <row r="13" spans="1:21" x14ac:dyDescent="0.2">
      <c r="A13" s="460" t="s">
        <v>522</v>
      </c>
      <c r="B13" s="451">
        <v>5297377</v>
      </c>
      <c r="C13" s="451">
        <v>8077045</v>
      </c>
      <c r="D13" s="465">
        <v>15502589</v>
      </c>
      <c r="E13" s="464">
        <v>6515912</v>
      </c>
      <c r="F13" s="451">
        <v>3848353</v>
      </c>
      <c r="G13" s="455">
        <f t="shared" si="0"/>
        <v>10205212</v>
      </c>
      <c r="H13" s="469">
        <f t="shared" si="1"/>
        <v>192.64651166039343</v>
      </c>
      <c r="I13" s="457">
        <f t="shared" si="2"/>
        <v>-11654236</v>
      </c>
      <c r="J13" s="470">
        <f t="shared" si="3"/>
        <v>-75.176062527362362</v>
      </c>
    </row>
    <row r="14" spans="1:21" x14ac:dyDescent="0.2">
      <c r="A14" s="460" t="s">
        <v>523</v>
      </c>
      <c r="B14" s="451">
        <v>21610704</v>
      </c>
      <c r="C14" s="451">
        <v>26427946</v>
      </c>
      <c r="D14" s="465">
        <v>4043221</v>
      </c>
      <c r="E14" s="464">
        <v>8198723</v>
      </c>
      <c r="F14" s="451">
        <v>797977</v>
      </c>
      <c r="G14" s="455">
        <f t="shared" si="0"/>
        <v>-17567483</v>
      </c>
      <c r="H14" s="469">
        <f t="shared" si="1"/>
        <v>-81.290655778728919</v>
      </c>
      <c r="I14" s="457">
        <f t="shared" si="2"/>
        <v>-3245244</v>
      </c>
      <c r="J14" s="470">
        <f t="shared" si="3"/>
        <v>-80.263829258900259</v>
      </c>
    </row>
    <row r="15" spans="1:21" x14ac:dyDescent="0.2">
      <c r="A15" s="460" t="s">
        <v>524</v>
      </c>
      <c r="B15" s="451">
        <v>7043827</v>
      </c>
      <c r="C15" s="451">
        <v>4477286</v>
      </c>
      <c r="D15" s="465">
        <v>5579772</v>
      </c>
      <c r="E15" s="464">
        <v>4435873</v>
      </c>
      <c r="F15" s="451">
        <v>3200594</v>
      </c>
      <c r="G15" s="455">
        <f t="shared" si="0"/>
        <v>-1464055</v>
      </c>
      <c r="H15" s="469">
        <f t="shared" si="1"/>
        <v>-20.784936938400104</v>
      </c>
      <c r="I15" s="457">
        <f t="shared" si="2"/>
        <v>-2379178</v>
      </c>
      <c r="J15" s="470">
        <f t="shared" si="3"/>
        <v>-42.639340818943857</v>
      </c>
    </row>
    <row r="16" spans="1:21" x14ac:dyDescent="0.2">
      <c r="A16" s="460" t="s">
        <v>525</v>
      </c>
      <c r="B16" s="451">
        <v>15727643</v>
      </c>
      <c r="C16" s="451">
        <v>12875615</v>
      </c>
      <c r="D16" s="465">
        <v>12731317</v>
      </c>
      <c r="E16" s="464">
        <v>14589934</v>
      </c>
      <c r="F16" s="451">
        <v>13263716</v>
      </c>
      <c r="G16" s="455">
        <f t="shared" si="0"/>
        <v>-2996326</v>
      </c>
      <c r="H16" s="469">
        <f t="shared" si="1"/>
        <v>-19.051335282724818</v>
      </c>
      <c r="I16" s="457">
        <f t="shared" si="2"/>
        <v>532399</v>
      </c>
      <c r="J16" s="470">
        <f t="shared" si="3"/>
        <v>4.181806171348966</v>
      </c>
    </row>
    <row r="17" spans="1:10" x14ac:dyDescent="0.2">
      <c r="A17" s="460" t="s">
        <v>526</v>
      </c>
      <c r="B17" s="451">
        <v>1707851</v>
      </c>
      <c r="C17" s="451">
        <v>3102709</v>
      </c>
      <c r="D17" s="465">
        <v>2094768</v>
      </c>
      <c r="E17" s="464">
        <v>3502000</v>
      </c>
      <c r="F17" s="451">
        <v>964646</v>
      </c>
      <c r="G17" s="455">
        <f t="shared" si="0"/>
        <v>386917</v>
      </c>
      <c r="H17" s="469">
        <f t="shared" si="1"/>
        <v>22.655196501334132</v>
      </c>
      <c r="I17" s="457">
        <f t="shared" si="2"/>
        <v>-1130122</v>
      </c>
      <c r="J17" s="470">
        <f t="shared" si="3"/>
        <v>-53.949745270120609</v>
      </c>
    </row>
    <row r="18" spans="1:10" x14ac:dyDescent="0.2">
      <c r="A18" s="460" t="s">
        <v>527</v>
      </c>
      <c r="B18" s="451">
        <v>2118262</v>
      </c>
      <c r="C18" s="451">
        <v>8717129</v>
      </c>
      <c r="D18" s="465">
        <v>2978194</v>
      </c>
      <c r="E18" s="464">
        <v>6583288</v>
      </c>
      <c r="F18" s="451">
        <v>2217324</v>
      </c>
      <c r="G18" s="455">
        <f t="shared" si="0"/>
        <v>859932</v>
      </c>
      <c r="H18" s="469">
        <f t="shared" si="1"/>
        <v>40.596111340334673</v>
      </c>
      <c r="I18" s="457">
        <f t="shared" si="2"/>
        <v>-760870</v>
      </c>
      <c r="J18" s="470">
        <f t="shared" si="3"/>
        <v>-25.548033472634756</v>
      </c>
    </row>
    <row r="19" spans="1:10" x14ac:dyDescent="0.2">
      <c r="A19" s="460" t="s">
        <v>528</v>
      </c>
      <c r="B19" s="451">
        <v>467123</v>
      </c>
      <c r="C19" s="451">
        <v>410617</v>
      </c>
      <c r="D19" s="465">
        <v>516148</v>
      </c>
      <c r="E19" s="464">
        <v>558305</v>
      </c>
      <c r="F19" s="451">
        <v>10577396</v>
      </c>
      <c r="G19" s="455">
        <f t="shared" si="0"/>
        <v>49025</v>
      </c>
      <c r="H19" s="469">
        <f t="shared" si="1"/>
        <v>10.495094439794229</v>
      </c>
      <c r="I19" s="457">
        <f t="shared" si="2"/>
        <v>10061248</v>
      </c>
      <c r="J19" s="470">
        <f t="shared" si="3"/>
        <v>1949.2951634027449</v>
      </c>
    </row>
    <row r="20" spans="1:10" x14ac:dyDescent="0.2">
      <c r="A20" s="460" t="s">
        <v>529</v>
      </c>
      <c r="B20" s="451">
        <v>94584551</v>
      </c>
      <c r="C20" s="451">
        <v>136150279</v>
      </c>
      <c r="D20" s="465">
        <v>78408024</v>
      </c>
      <c r="E20" s="464">
        <v>129748617</v>
      </c>
      <c r="F20" s="451">
        <v>57826519</v>
      </c>
      <c r="G20" s="455">
        <f t="shared" si="0"/>
        <v>-16176527</v>
      </c>
      <c r="H20" s="469">
        <f t="shared" si="1"/>
        <v>-17.102715854727695</v>
      </c>
      <c r="I20" s="457">
        <f t="shared" si="2"/>
        <v>-20581505</v>
      </c>
      <c r="J20" s="470">
        <f t="shared" si="3"/>
        <v>-26.249233114202696</v>
      </c>
    </row>
    <row r="21" spans="1:10" x14ac:dyDescent="0.2">
      <c r="A21" s="460" t="s">
        <v>530</v>
      </c>
      <c r="B21" s="451">
        <v>64339477</v>
      </c>
      <c r="C21" s="451">
        <v>62065180</v>
      </c>
      <c r="D21" s="465">
        <v>70274119</v>
      </c>
      <c r="E21" s="464">
        <v>93990272</v>
      </c>
      <c r="F21" s="451">
        <v>75946420</v>
      </c>
      <c r="G21" s="455">
        <f t="shared" si="0"/>
        <v>5934642</v>
      </c>
      <c r="H21" s="469">
        <f t="shared" si="1"/>
        <v>9.2239512609031635</v>
      </c>
      <c r="I21" s="457">
        <f t="shared" si="2"/>
        <v>5672301</v>
      </c>
      <c r="J21" s="470">
        <f t="shared" si="3"/>
        <v>8.0716785649066622</v>
      </c>
    </row>
    <row r="22" spans="1:10" x14ac:dyDescent="0.2">
      <c r="A22" s="460" t="s">
        <v>531</v>
      </c>
      <c r="B22" s="451">
        <v>12002619</v>
      </c>
      <c r="C22" s="451">
        <v>47053328</v>
      </c>
      <c r="D22" s="465">
        <v>9217878</v>
      </c>
      <c r="E22" s="464">
        <v>54801431</v>
      </c>
      <c r="F22" s="451">
        <v>10046438</v>
      </c>
      <c r="G22" s="455">
        <f t="shared" si="0"/>
        <v>-2784741</v>
      </c>
      <c r="H22" s="469">
        <f t="shared" si="1"/>
        <v>-23.201111357446237</v>
      </c>
      <c r="I22" s="457">
        <f t="shared" si="2"/>
        <v>828560</v>
      </c>
      <c r="J22" s="470">
        <f t="shared" si="3"/>
        <v>8.9886197235415786</v>
      </c>
    </row>
    <row r="23" spans="1:10" x14ac:dyDescent="0.2">
      <c r="A23" s="460" t="s">
        <v>532</v>
      </c>
      <c r="B23" s="454"/>
      <c r="C23" s="462"/>
      <c r="D23" s="456"/>
      <c r="E23" s="464"/>
      <c r="F23" s="451">
        <v>10785522</v>
      </c>
      <c r="G23" s="455">
        <f t="shared" si="0"/>
        <v>0</v>
      </c>
      <c r="H23" s="469">
        <v>0</v>
      </c>
      <c r="I23" s="457">
        <f t="shared" si="2"/>
        <v>10785522</v>
      </c>
      <c r="J23" s="470"/>
    </row>
    <row r="24" spans="1:10" x14ac:dyDescent="0.2">
      <c r="A24" s="460" t="s">
        <v>533</v>
      </c>
      <c r="B24" s="451">
        <v>2620395</v>
      </c>
      <c r="C24" s="451">
        <v>2670477</v>
      </c>
      <c r="D24" s="465">
        <v>3314762</v>
      </c>
      <c r="E24" s="464">
        <v>803051</v>
      </c>
      <c r="F24" s="451">
        <v>11765651</v>
      </c>
      <c r="G24" s="455">
        <f t="shared" si="0"/>
        <v>694367</v>
      </c>
      <c r="H24" s="469">
        <f t="shared" si="1"/>
        <v>26.498562239662345</v>
      </c>
      <c r="I24" s="457">
        <f t="shared" si="2"/>
        <v>8450889</v>
      </c>
      <c r="J24" s="470">
        <f t="shared" si="3"/>
        <v>254.94708217362211</v>
      </c>
    </row>
    <row r="25" spans="1:10" x14ac:dyDescent="0.2">
      <c r="A25" s="460" t="s">
        <v>534</v>
      </c>
      <c r="B25" s="451">
        <v>7570419</v>
      </c>
      <c r="C25" s="451">
        <v>3433474</v>
      </c>
      <c r="D25" s="465">
        <v>13038267</v>
      </c>
      <c r="E25" s="464">
        <v>5619340</v>
      </c>
      <c r="F25" s="451">
        <v>9685256</v>
      </c>
      <c r="G25" s="455">
        <f t="shared" si="0"/>
        <v>5467848</v>
      </c>
      <c r="H25" s="469">
        <f t="shared" si="1"/>
        <v>72.226491030417208</v>
      </c>
      <c r="I25" s="457">
        <f t="shared" si="2"/>
        <v>-3353011</v>
      </c>
      <c r="J25" s="470">
        <f t="shared" si="3"/>
        <v>-25.716692256723995</v>
      </c>
    </row>
    <row r="26" spans="1:10" ht="12.75" thickBot="1" x14ac:dyDescent="0.25">
      <c r="A26" s="461"/>
      <c r="B26" s="30"/>
      <c r="C26" s="356"/>
      <c r="D26" s="466"/>
      <c r="E26" s="467"/>
      <c r="F26" s="39"/>
      <c r="G26" s="38"/>
      <c r="H26" s="356"/>
      <c r="I26" s="37"/>
      <c r="J26" s="39"/>
    </row>
    <row r="27" spans="1:10" ht="12.75" thickBot="1" x14ac:dyDescent="0.25">
      <c r="A27" s="128" t="s">
        <v>45</v>
      </c>
      <c r="B27" s="458">
        <f>SUM(B6:B25)</f>
        <v>286616039</v>
      </c>
      <c r="C27" s="459">
        <f>SUM(C6:C25)</f>
        <v>381073327</v>
      </c>
      <c r="D27" s="458">
        <f>SUM(D6:D25)</f>
        <v>268873314</v>
      </c>
      <c r="E27" s="458">
        <f t="shared" ref="E27:F27" si="4">SUM(E6:E25)</f>
        <v>375266258</v>
      </c>
      <c r="F27" s="458">
        <f t="shared" si="4"/>
        <v>248620235</v>
      </c>
      <c r="G27" s="458">
        <f>SUM(G6:G25)</f>
        <v>-17742725</v>
      </c>
      <c r="H27" s="468">
        <f>+(G27/B27)*100</f>
        <v>-6.1904159522628808</v>
      </c>
      <c r="I27" s="471">
        <f>SUM(I6:I25)</f>
        <v>-20253079</v>
      </c>
      <c r="J27" s="472">
        <f>+(I27/D27)*100</f>
        <v>-7.5325731284734339</v>
      </c>
    </row>
    <row r="28" spans="1:10" x14ac:dyDescent="0.2">
      <c r="A28" s="1" t="s">
        <v>47</v>
      </c>
      <c r="B28" s="2"/>
      <c r="C28" s="2"/>
      <c r="D28" s="2"/>
      <c r="E28" s="2"/>
      <c r="F28" s="2"/>
      <c r="G28" s="2"/>
      <c r="H28" s="2"/>
      <c r="I28" s="2"/>
    </row>
    <row r="29" spans="1:10" x14ac:dyDescent="0.2">
      <c r="A29" s="1" t="s">
        <v>355</v>
      </c>
      <c r="B29" s="91"/>
      <c r="C29" s="91"/>
      <c r="D29" s="91"/>
      <c r="E29" s="91"/>
      <c r="F29" s="91"/>
      <c r="G29" s="91"/>
      <c r="H29" s="91"/>
      <c r="I29" s="91"/>
    </row>
    <row r="30" spans="1:10" x14ac:dyDescent="0.2">
      <c r="A30" s="1" t="s">
        <v>169</v>
      </c>
      <c r="B30" s="2"/>
      <c r="C30" s="2"/>
      <c r="D30" s="2"/>
      <c r="E30" s="2"/>
      <c r="F30" s="2"/>
      <c r="G30" s="2"/>
      <c r="H30" s="2"/>
      <c r="I30" s="2"/>
    </row>
    <row r="31" spans="1:10" x14ac:dyDescent="0.2">
      <c r="A31" s="1"/>
      <c r="B31" s="2"/>
      <c r="C31" s="2"/>
      <c r="D31" s="2"/>
      <c r="E31" s="2"/>
      <c r="F31" s="2"/>
      <c r="G31" s="2"/>
      <c r="H31" s="2"/>
      <c r="I31" s="2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paperSize="9" scale="95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>
    <tabColor theme="4"/>
    <pageSetUpPr fitToPage="1"/>
  </sheetPr>
  <dimension ref="A1:Y18"/>
  <sheetViews>
    <sheetView topLeftCell="A2" zoomScale="85" zoomScaleNormal="100" zoomScaleSheetLayoutView="90" workbookViewId="0">
      <selection activeCell="A8" sqref="A8"/>
    </sheetView>
  </sheetViews>
  <sheetFormatPr baseColWidth="10" defaultColWidth="11.42578125" defaultRowHeight="12" x14ac:dyDescent="0.2"/>
  <cols>
    <col min="1" max="1" width="31.42578125" style="3" customWidth="1"/>
    <col min="2" max="2" width="14.42578125" style="3" customWidth="1"/>
    <col min="3" max="3" width="15.5703125" style="3" customWidth="1"/>
    <col min="4" max="4" width="14.85546875" style="127" customWidth="1"/>
    <col min="5" max="5" width="15.5703125" style="127" customWidth="1"/>
    <col min="6" max="6" width="18" style="100" customWidth="1"/>
    <col min="7" max="7" width="15.5703125" style="100" customWidth="1"/>
    <col min="8" max="8" width="15.5703125" style="127" customWidth="1"/>
    <col min="9" max="9" width="14.5703125" style="100" customWidth="1"/>
    <col min="10" max="10" width="14.7109375" style="100" customWidth="1"/>
    <col min="11" max="11" width="14.5703125" style="100" customWidth="1"/>
    <col min="12" max="12" width="14.7109375" style="3" customWidth="1"/>
    <col min="13" max="13" width="13.42578125" style="3" customWidth="1"/>
    <col min="14" max="14" width="15.5703125" style="100" customWidth="1"/>
    <col min="15" max="16384" width="11.42578125" style="3"/>
  </cols>
  <sheetData>
    <row r="1" spans="1:25" s="5" customFormat="1" ht="15.75" customHeight="1" x14ac:dyDescent="0.2">
      <c r="A1" s="163" t="s">
        <v>430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25" s="5" customFormat="1" x14ac:dyDescent="0.2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00" customFormat="1" ht="12.75" thickBot="1" x14ac:dyDescent="0.25">
      <c r="A3" s="10" t="s">
        <v>1614</v>
      </c>
      <c r="B3" s="11"/>
      <c r="D3" s="127"/>
      <c r="E3" s="127"/>
      <c r="G3" s="11"/>
      <c r="H3" s="11"/>
    </row>
    <row r="4" spans="1:25" ht="13.5" hidden="1" customHeight="1" x14ac:dyDescent="0.2">
      <c r="A4" s="84" t="s">
        <v>87</v>
      </c>
      <c r="B4" s="80"/>
      <c r="C4" s="59"/>
      <c r="D4" s="129"/>
      <c r="E4" s="129"/>
      <c r="F4" s="101"/>
      <c r="G4" s="101"/>
      <c r="H4" s="129"/>
      <c r="I4" s="101"/>
      <c r="J4" s="101"/>
      <c r="K4" s="101"/>
      <c r="L4" s="59"/>
      <c r="M4" s="59"/>
      <c r="N4" s="101"/>
    </row>
    <row r="5" spans="1:25" ht="57" customHeight="1" thickBot="1" x14ac:dyDescent="0.25">
      <c r="A5" s="260" t="s">
        <v>91</v>
      </c>
      <c r="B5" s="263" t="s">
        <v>92</v>
      </c>
      <c r="C5" s="261" t="s">
        <v>93</v>
      </c>
      <c r="D5" s="261" t="s">
        <v>210</v>
      </c>
      <c r="E5" s="261" t="s">
        <v>211</v>
      </c>
      <c r="F5" s="261" t="s">
        <v>247</v>
      </c>
      <c r="G5" s="261" t="s">
        <v>171</v>
      </c>
      <c r="H5" s="261" t="s">
        <v>209</v>
      </c>
      <c r="I5" s="261" t="s">
        <v>173</v>
      </c>
      <c r="J5" s="261" t="s">
        <v>172</v>
      </c>
      <c r="K5" s="261" t="s">
        <v>174</v>
      </c>
      <c r="L5" s="261" t="s">
        <v>175</v>
      </c>
      <c r="M5" s="261" t="s">
        <v>176</v>
      </c>
      <c r="N5" s="261" t="s">
        <v>177</v>
      </c>
    </row>
    <row r="6" spans="1:25" ht="15.75" x14ac:dyDescent="0.2">
      <c r="A6" s="484" t="s">
        <v>1291</v>
      </c>
      <c r="B6" s="495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7"/>
      <c r="N6" s="497"/>
    </row>
    <row r="7" spans="1:25" ht="48" x14ac:dyDescent="0.2">
      <c r="A7" s="486" t="s">
        <v>1273</v>
      </c>
      <c r="B7" s="498">
        <v>371682</v>
      </c>
      <c r="C7" s="491" t="s">
        <v>1288</v>
      </c>
      <c r="D7" s="491" t="s">
        <v>1289</v>
      </c>
      <c r="E7" s="491" t="s">
        <v>1292</v>
      </c>
      <c r="F7" s="499">
        <v>10053223.949999999</v>
      </c>
      <c r="G7" s="500">
        <v>43823</v>
      </c>
      <c r="H7" s="491" t="s">
        <v>1293</v>
      </c>
      <c r="I7" s="491">
        <v>180</v>
      </c>
      <c r="J7" s="500">
        <v>44052</v>
      </c>
      <c r="K7" s="491">
        <v>164</v>
      </c>
      <c r="L7" s="500">
        <v>44216</v>
      </c>
      <c r="M7" s="491" t="s">
        <v>1294</v>
      </c>
      <c r="N7" s="491" t="s">
        <v>1294</v>
      </c>
    </row>
    <row r="8" spans="1:25" ht="96" x14ac:dyDescent="0.2">
      <c r="A8" s="486" t="s">
        <v>1295</v>
      </c>
      <c r="B8" s="498">
        <v>316732</v>
      </c>
      <c r="C8" s="491" t="s">
        <v>1296</v>
      </c>
      <c r="D8" s="491" t="s">
        <v>1290</v>
      </c>
      <c r="E8" s="491" t="s">
        <v>1297</v>
      </c>
      <c r="F8" s="489">
        <v>3274463.55</v>
      </c>
      <c r="G8" s="501">
        <v>43522</v>
      </c>
      <c r="H8" s="491" t="s">
        <v>1298</v>
      </c>
      <c r="I8" s="498">
        <v>120</v>
      </c>
      <c r="J8" s="501">
        <v>43540</v>
      </c>
      <c r="K8" s="498">
        <v>45</v>
      </c>
      <c r="L8" s="501">
        <v>43764</v>
      </c>
      <c r="M8" s="501">
        <v>43764</v>
      </c>
      <c r="N8" s="501">
        <v>43833</v>
      </c>
    </row>
    <row r="9" spans="1:25" ht="15.75" x14ac:dyDescent="0.2">
      <c r="A9" s="484" t="s">
        <v>1299</v>
      </c>
      <c r="B9" s="498"/>
      <c r="C9" s="491"/>
      <c r="D9" s="491"/>
      <c r="E9" s="491"/>
      <c r="F9" s="489"/>
      <c r="G9" s="501"/>
      <c r="H9" s="491"/>
      <c r="I9" s="498"/>
      <c r="J9" s="501"/>
      <c r="K9" s="498"/>
      <c r="L9" s="501"/>
      <c r="M9" s="501"/>
      <c r="N9" s="501"/>
    </row>
    <row r="10" spans="1:25" ht="36" x14ac:dyDescent="0.2">
      <c r="A10" s="486" t="s">
        <v>1300</v>
      </c>
      <c r="B10" s="498">
        <v>48520</v>
      </c>
      <c r="C10" s="491" t="s">
        <v>1288</v>
      </c>
      <c r="D10" s="491" t="s">
        <v>1289</v>
      </c>
      <c r="E10" s="491" t="s">
        <v>1301</v>
      </c>
      <c r="F10" s="499">
        <v>5797841.7000000002</v>
      </c>
      <c r="G10" s="501">
        <v>43873</v>
      </c>
      <c r="H10" s="491" t="s">
        <v>1302</v>
      </c>
      <c r="I10" s="498">
        <v>150</v>
      </c>
      <c r="J10" s="501">
        <v>43889</v>
      </c>
      <c r="K10" s="498">
        <v>158</v>
      </c>
      <c r="L10" s="501">
        <v>44176</v>
      </c>
      <c r="M10" s="491" t="s">
        <v>1294</v>
      </c>
      <c r="N10" s="491" t="s">
        <v>1294</v>
      </c>
    </row>
    <row r="11" spans="1:25" ht="72" x14ac:dyDescent="0.2">
      <c r="A11" s="486" t="s">
        <v>1274</v>
      </c>
      <c r="B11" s="498">
        <v>2333408</v>
      </c>
      <c r="C11" s="491" t="s">
        <v>1288</v>
      </c>
      <c r="D11" s="491" t="s">
        <v>1289</v>
      </c>
      <c r="E11" s="491" t="s">
        <v>1303</v>
      </c>
      <c r="F11" s="499">
        <v>8833643.9299999997</v>
      </c>
      <c r="G11" s="501">
        <v>44070</v>
      </c>
      <c r="H11" s="491" t="s">
        <v>1304</v>
      </c>
      <c r="I11" s="498">
        <v>180</v>
      </c>
      <c r="J11" s="39" t="s">
        <v>1305</v>
      </c>
      <c r="K11" s="498">
        <v>0</v>
      </c>
      <c r="L11" s="39" t="s">
        <v>1305</v>
      </c>
      <c r="M11" s="39" t="s">
        <v>1305</v>
      </c>
      <c r="N11" s="491" t="s">
        <v>1305</v>
      </c>
    </row>
    <row r="12" spans="1:25" ht="12.75" thickBot="1" x14ac:dyDescent="0.25">
      <c r="A12" s="86" t="s">
        <v>103</v>
      </c>
      <c r="B12" s="8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50"/>
      <c r="N12" s="50"/>
    </row>
    <row r="13" spans="1:25" ht="12.75" thickBot="1" x14ac:dyDescent="0.25">
      <c r="A13" s="32" t="s">
        <v>0</v>
      </c>
      <c r="B13" s="57"/>
      <c r="C13" s="51"/>
      <c r="D13" s="44"/>
      <c r="E13" s="44"/>
      <c r="F13" s="502">
        <f>SUM(F6:F11)</f>
        <v>27959173.129999999</v>
      </c>
      <c r="G13" s="51"/>
      <c r="H13" s="51"/>
      <c r="I13" s="51"/>
      <c r="J13" s="51"/>
      <c r="K13" s="51"/>
      <c r="L13" s="51"/>
      <c r="M13" s="51"/>
      <c r="N13" s="51"/>
    </row>
    <row r="14" spans="1:25" s="100" customFormat="1" x14ac:dyDescent="0.2">
      <c r="A14" s="1" t="s">
        <v>359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25" x14ac:dyDescent="0.2">
      <c r="A15" s="21"/>
      <c r="B15" s="21"/>
    </row>
    <row r="16" spans="1:25" x14ac:dyDescent="0.2">
      <c r="A16" s="21"/>
    </row>
    <row r="17" spans="1:1" x14ac:dyDescent="0.2">
      <c r="A17" s="21"/>
    </row>
    <row r="18" spans="1:1" x14ac:dyDescent="0.2">
      <c r="A18" s="21"/>
    </row>
  </sheetData>
  <phoneticPr fontId="14" type="noConversion"/>
  <printOptions horizontalCentered="1"/>
  <pageMargins left="0.25" right="0.25" top="0.75" bottom="0.75" header="0.3" footer="0.3"/>
  <pageSetup paperSize="9" scale="63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tabColor rgb="FF0070C0"/>
    <pageSetUpPr fitToPage="1"/>
  </sheetPr>
  <dimension ref="A1:Y302"/>
  <sheetViews>
    <sheetView view="pageLayout" topLeftCell="A181" zoomScaleNormal="100" zoomScaleSheetLayoutView="100" workbookViewId="0">
      <selection activeCell="A94" sqref="A94:W128"/>
    </sheetView>
  </sheetViews>
  <sheetFormatPr baseColWidth="10" defaultColWidth="11.42578125" defaultRowHeight="12" x14ac:dyDescent="0.2"/>
  <cols>
    <col min="1" max="1" width="45.7109375" style="3" customWidth="1"/>
    <col min="2" max="2" width="20.28515625" style="3" customWidth="1"/>
    <col min="3" max="3" width="20.28515625" style="127" customWidth="1"/>
    <col min="4" max="5" width="17.7109375" style="3" customWidth="1"/>
    <col min="6" max="6" width="17.7109375" style="127" customWidth="1"/>
    <col min="7" max="8" width="17.7109375" style="3" customWidth="1"/>
    <col min="9" max="9" width="17.7109375" style="127" customWidth="1"/>
    <col min="10" max="10" width="36.42578125" style="3" customWidth="1"/>
    <col min="11" max="16384" width="11.42578125" style="3"/>
  </cols>
  <sheetData>
    <row r="1" spans="1:25" s="5" customFormat="1" ht="15.75" customHeight="1" x14ac:dyDescent="0.2">
      <c r="A1" s="163" t="s">
        <v>431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25" s="5" customFormat="1" x14ac:dyDescent="0.2">
      <c r="A2" s="163" t="s">
        <v>170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4.25" customHeight="1" thickBot="1" x14ac:dyDescent="0.25">
      <c r="A3" s="10"/>
      <c r="B3" s="10"/>
      <c r="C3" s="10"/>
      <c r="D3" s="15"/>
      <c r="E3" s="15"/>
      <c r="F3" s="15"/>
      <c r="G3" s="20"/>
    </row>
    <row r="4" spans="1:25" ht="13.5" hidden="1" customHeight="1" x14ac:dyDescent="0.2">
      <c r="A4" s="80" t="s">
        <v>87</v>
      </c>
      <c r="B4" s="84"/>
      <c r="C4" s="84"/>
      <c r="D4" s="31"/>
      <c r="E4" s="31"/>
      <c r="F4" s="131"/>
      <c r="G4" s="31" t="s">
        <v>32</v>
      </c>
      <c r="H4" s="31" t="s">
        <v>88</v>
      </c>
      <c r="I4" s="129"/>
      <c r="J4" s="59"/>
    </row>
    <row r="5" spans="1:25" ht="36.75" thickBot="1" x14ac:dyDescent="0.25">
      <c r="A5" s="262" t="s">
        <v>94</v>
      </c>
      <c r="B5" s="263" t="s">
        <v>93</v>
      </c>
      <c r="C5" s="263" t="s">
        <v>210</v>
      </c>
      <c r="D5" s="261" t="s">
        <v>211</v>
      </c>
      <c r="E5" s="261" t="s">
        <v>2</v>
      </c>
      <c r="F5" s="261" t="s">
        <v>209</v>
      </c>
      <c r="G5" s="263" t="s">
        <v>96</v>
      </c>
      <c r="H5" s="261" t="s">
        <v>171</v>
      </c>
      <c r="I5" s="261" t="s">
        <v>176</v>
      </c>
      <c r="J5" s="261" t="s">
        <v>95</v>
      </c>
    </row>
    <row r="6" spans="1:25" x14ac:dyDescent="0.2">
      <c r="A6" s="60">
        <v>1</v>
      </c>
      <c r="B6" s="79"/>
      <c r="C6" s="60"/>
      <c r="D6" s="48"/>
      <c r="E6" s="61"/>
      <c r="F6" s="61"/>
      <c r="G6" s="53"/>
      <c r="H6" s="54"/>
      <c r="I6" s="54"/>
      <c r="J6" s="53"/>
    </row>
    <row r="7" spans="1:25" x14ac:dyDescent="0.2">
      <c r="A7" s="60">
        <v>2</v>
      </c>
      <c r="B7" s="79"/>
      <c r="C7" s="60"/>
      <c r="D7" s="48"/>
      <c r="E7" s="61"/>
      <c r="F7" s="61"/>
      <c r="G7" s="53"/>
      <c r="H7" s="54"/>
      <c r="I7" s="54"/>
      <c r="J7" s="53"/>
    </row>
    <row r="8" spans="1:25" x14ac:dyDescent="0.2">
      <c r="A8" s="60">
        <v>3</v>
      </c>
      <c r="B8" s="79"/>
      <c r="C8" s="60"/>
      <c r="D8" s="48"/>
      <c r="E8" s="61"/>
      <c r="F8" s="61"/>
      <c r="G8" s="53"/>
      <c r="H8" s="54"/>
      <c r="I8" s="54"/>
      <c r="J8" s="53"/>
    </row>
    <row r="9" spans="1:25" x14ac:dyDescent="0.2">
      <c r="A9" s="60">
        <v>4</v>
      </c>
      <c r="B9" s="79"/>
      <c r="C9" s="60"/>
      <c r="D9" s="48"/>
      <c r="E9" s="61"/>
      <c r="F9" s="61"/>
      <c r="G9" s="53"/>
      <c r="H9" s="54"/>
      <c r="I9" s="54"/>
      <c r="J9" s="53"/>
    </row>
    <row r="10" spans="1:25" x14ac:dyDescent="0.2">
      <c r="A10" s="60">
        <v>5</v>
      </c>
      <c r="B10" s="79"/>
      <c r="C10" s="60"/>
      <c r="D10" s="48"/>
      <c r="E10" s="61"/>
      <c r="F10" s="61"/>
      <c r="G10" s="53"/>
      <c r="H10" s="54"/>
      <c r="I10" s="54"/>
      <c r="J10" s="53"/>
    </row>
    <row r="11" spans="1:25" x14ac:dyDescent="0.2">
      <c r="A11" s="60">
        <v>6</v>
      </c>
      <c r="B11" s="79"/>
      <c r="C11" s="60"/>
      <c r="D11" s="48"/>
      <c r="E11" s="61"/>
      <c r="F11" s="61"/>
      <c r="G11" s="53"/>
      <c r="H11" s="54"/>
      <c r="I11" s="54"/>
      <c r="J11" s="53"/>
    </row>
    <row r="12" spans="1:25" x14ac:dyDescent="0.2">
      <c r="A12" s="60">
        <v>7</v>
      </c>
      <c r="B12" s="79"/>
      <c r="C12" s="60"/>
      <c r="D12" s="2"/>
      <c r="E12" s="46"/>
      <c r="F12" s="46"/>
      <c r="G12" s="53"/>
      <c r="H12" s="54"/>
      <c r="I12" s="54"/>
      <c r="J12" s="53"/>
    </row>
    <row r="13" spans="1:25" x14ac:dyDescent="0.2">
      <c r="A13" s="60">
        <v>8</v>
      </c>
      <c r="B13" s="79"/>
      <c r="C13" s="60"/>
      <c r="D13" s="48"/>
      <c r="E13" s="61"/>
      <c r="F13" s="61"/>
      <c r="G13" s="53"/>
      <c r="H13" s="54"/>
      <c r="I13" s="54"/>
      <c r="J13" s="53"/>
    </row>
    <row r="14" spans="1:25" x14ac:dyDescent="0.2">
      <c r="A14" s="60">
        <v>9</v>
      </c>
      <c r="B14" s="79"/>
      <c r="C14" s="60"/>
      <c r="D14" s="48"/>
      <c r="E14" s="61"/>
      <c r="F14" s="61"/>
      <c r="G14" s="53"/>
      <c r="H14" s="54"/>
      <c r="I14" s="54"/>
      <c r="J14" s="53"/>
    </row>
    <row r="15" spans="1:25" x14ac:dyDescent="0.2">
      <c r="A15" s="60">
        <v>10</v>
      </c>
      <c r="B15" s="79"/>
      <c r="C15" s="60"/>
      <c r="D15" s="48"/>
      <c r="E15" s="61"/>
      <c r="F15" s="61"/>
      <c r="G15" s="53"/>
      <c r="H15" s="54"/>
      <c r="I15" s="54"/>
      <c r="J15" s="53"/>
    </row>
    <row r="16" spans="1:25" x14ac:dyDescent="0.2">
      <c r="A16" s="60">
        <v>11</v>
      </c>
      <c r="B16" s="79"/>
      <c r="C16" s="60"/>
      <c r="D16" s="48"/>
      <c r="E16" s="61"/>
      <c r="F16" s="61"/>
      <c r="G16" s="53"/>
      <c r="H16" s="54"/>
      <c r="I16" s="54"/>
      <c r="J16" s="53"/>
    </row>
    <row r="17" spans="1:10" x14ac:dyDescent="0.2">
      <c r="A17" s="60">
        <v>12</v>
      </c>
      <c r="B17" s="79"/>
      <c r="C17" s="60"/>
      <c r="D17" s="48"/>
      <c r="E17" s="61"/>
      <c r="F17" s="61"/>
      <c r="G17" s="53"/>
      <c r="H17" s="54"/>
      <c r="I17" s="54"/>
      <c r="J17" s="53"/>
    </row>
    <row r="18" spans="1:10" x14ac:dyDescent="0.2">
      <c r="A18" s="60">
        <v>13</v>
      </c>
      <c r="B18" s="79"/>
      <c r="C18" s="60"/>
      <c r="D18" s="48"/>
      <c r="E18" s="61"/>
      <c r="F18" s="61"/>
      <c r="G18" s="53"/>
      <c r="H18" s="54"/>
      <c r="I18" s="54"/>
      <c r="J18" s="53"/>
    </row>
    <row r="19" spans="1:10" x14ac:dyDescent="0.2">
      <c r="A19" s="60">
        <v>14</v>
      </c>
      <c r="B19" s="79"/>
      <c r="C19" s="60"/>
      <c r="D19" s="48"/>
      <c r="E19" s="61"/>
      <c r="F19" s="61"/>
      <c r="G19" s="53"/>
      <c r="H19" s="54"/>
      <c r="I19" s="54"/>
      <c r="J19" s="53"/>
    </row>
    <row r="20" spans="1:10" x14ac:dyDescent="0.2">
      <c r="A20" s="60">
        <v>15</v>
      </c>
      <c r="B20" s="79"/>
      <c r="C20" s="60"/>
      <c r="D20" s="48"/>
      <c r="E20" s="61"/>
      <c r="F20" s="61"/>
      <c r="G20" s="53"/>
      <c r="H20" s="54"/>
      <c r="I20" s="54"/>
      <c r="J20" s="53"/>
    </row>
    <row r="21" spans="1:10" x14ac:dyDescent="0.2">
      <c r="A21" s="60">
        <v>16</v>
      </c>
      <c r="B21" s="79"/>
      <c r="C21" s="60"/>
      <c r="D21" s="48"/>
      <c r="E21" s="61"/>
      <c r="F21" s="61"/>
      <c r="G21" s="53"/>
      <c r="H21" s="54"/>
      <c r="I21" s="54"/>
      <c r="J21" s="53"/>
    </row>
    <row r="22" spans="1:10" x14ac:dyDescent="0.2">
      <c r="A22" s="60">
        <v>17</v>
      </c>
      <c r="B22" s="79"/>
      <c r="C22" s="60"/>
      <c r="D22" s="48"/>
      <c r="E22" s="61"/>
      <c r="F22" s="61"/>
      <c r="G22" s="53"/>
      <c r="H22" s="54"/>
      <c r="I22" s="54"/>
      <c r="J22" s="53"/>
    </row>
    <row r="23" spans="1:10" x14ac:dyDescent="0.2">
      <c r="A23" s="60">
        <v>18</v>
      </c>
      <c r="B23" s="79"/>
      <c r="C23" s="60"/>
      <c r="D23" s="48"/>
      <c r="E23" s="61"/>
      <c r="F23" s="61"/>
      <c r="G23" s="53"/>
      <c r="H23" s="54"/>
      <c r="I23" s="54"/>
      <c r="J23" s="53"/>
    </row>
    <row r="24" spans="1:10" x14ac:dyDescent="0.2">
      <c r="A24" s="60">
        <v>19</v>
      </c>
      <c r="B24" s="79"/>
      <c r="C24" s="60"/>
      <c r="D24" s="48"/>
      <c r="E24" s="61"/>
      <c r="F24" s="61"/>
      <c r="G24" s="53"/>
      <c r="H24" s="54"/>
      <c r="I24" s="54"/>
      <c r="J24" s="53"/>
    </row>
    <row r="25" spans="1:10" x14ac:dyDescent="0.2">
      <c r="A25" s="60">
        <v>20</v>
      </c>
      <c r="B25" s="79"/>
      <c r="C25" s="60"/>
      <c r="D25" s="48"/>
      <c r="E25" s="61"/>
      <c r="F25" s="61"/>
      <c r="G25" s="53"/>
      <c r="H25" s="54"/>
      <c r="I25" s="54"/>
      <c r="J25" s="53"/>
    </row>
    <row r="26" spans="1:10" ht="12.75" thickBot="1" x14ac:dyDescent="0.25">
      <c r="A26" s="86"/>
      <c r="B26" s="83"/>
      <c r="C26" s="33"/>
      <c r="D26" s="73"/>
      <c r="E26" s="49"/>
      <c r="F26" s="49"/>
      <c r="G26" s="50"/>
      <c r="H26" s="39"/>
      <c r="I26" s="39"/>
      <c r="J26" s="50"/>
    </row>
    <row r="27" spans="1:10" ht="12.75" thickBot="1" x14ac:dyDescent="0.25">
      <c r="A27" s="132" t="s">
        <v>0</v>
      </c>
      <c r="B27" s="57"/>
      <c r="C27" s="41"/>
      <c r="D27" s="130"/>
      <c r="E27" s="128"/>
      <c r="F27" s="128"/>
      <c r="G27" s="51"/>
      <c r="H27" s="44"/>
      <c r="I27" s="44"/>
      <c r="J27" s="51"/>
    </row>
    <row r="28" spans="1:10" x14ac:dyDescent="0.2">
      <c r="A28" s="29"/>
      <c r="B28" s="29"/>
      <c r="C28" s="29"/>
      <c r="D28" s="29"/>
      <c r="E28" s="29"/>
      <c r="F28" s="29"/>
      <c r="G28" s="2"/>
    </row>
    <row r="29" spans="1:10" x14ac:dyDescent="0.2">
      <c r="A29" s="21"/>
      <c r="B29" s="21"/>
      <c r="C29" s="21"/>
      <c r="D29" s="21"/>
      <c r="E29" s="21"/>
      <c r="F29" s="21"/>
      <c r="G29" s="2"/>
    </row>
    <row r="30" spans="1:10" x14ac:dyDescent="0.2">
      <c r="A30" s="21"/>
    </row>
    <row r="31" spans="1:10" x14ac:dyDescent="0.2">
      <c r="A31" s="21"/>
    </row>
    <row r="32" spans="1:10" x14ac:dyDescent="0.2">
      <c r="A32" s="21"/>
    </row>
    <row r="65" spans="1:10" x14ac:dyDescent="0.2">
      <c r="A65" s="490" t="s">
        <v>431</v>
      </c>
      <c r="B65" s="490"/>
      <c r="C65" s="490"/>
      <c r="D65" s="490"/>
      <c r="E65" s="490"/>
      <c r="F65" s="490"/>
      <c r="G65" s="490"/>
      <c r="H65" s="490"/>
      <c r="I65" s="490"/>
      <c r="J65" s="490"/>
    </row>
    <row r="66" spans="1:10" x14ac:dyDescent="0.2">
      <c r="A66" s="173" t="s">
        <v>460</v>
      </c>
      <c r="B66" s="490"/>
      <c r="C66" s="490"/>
      <c r="D66" s="490"/>
      <c r="E66" s="490"/>
      <c r="F66" s="490"/>
      <c r="G66" s="490"/>
      <c r="H66" s="490"/>
      <c r="I66" s="490"/>
      <c r="J66" s="490"/>
    </row>
    <row r="67" spans="1:10" ht="12.75" thickBot="1" x14ac:dyDescent="0.25">
      <c r="A67" s="15" t="s">
        <v>1396</v>
      </c>
      <c r="B67" s="15"/>
      <c r="C67" s="15"/>
      <c r="D67" s="15"/>
      <c r="E67" s="15"/>
      <c r="F67" s="15"/>
      <c r="G67" s="661"/>
      <c r="H67" s="162"/>
      <c r="I67" s="162"/>
      <c r="J67" s="162"/>
    </row>
    <row r="68" spans="1:10" ht="36.75" thickBot="1" x14ac:dyDescent="0.25">
      <c r="A68" s="503" t="s">
        <v>94</v>
      </c>
      <c r="B68" s="506" t="s">
        <v>93</v>
      </c>
      <c r="C68" s="506" t="s">
        <v>210</v>
      </c>
      <c r="D68" s="261" t="s">
        <v>211</v>
      </c>
      <c r="E68" s="261" t="s">
        <v>2</v>
      </c>
      <c r="F68" s="261" t="s">
        <v>209</v>
      </c>
      <c r="G68" s="506" t="s">
        <v>96</v>
      </c>
      <c r="H68" s="261" t="s">
        <v>171</v>
      </c>
      <c r="I68" s="261" t="s">
        <v>176</v>
      </c>
      <c r="J68" s="261" t="s">
        <v>95</v>
      </c>
    </row>
    <row r="69" spans="1:10" x14ac:dyDescent="0.2">
      <c r="A69" s="662" t="s">
        <v>1500</v>
      </c>
      <c r="B69" s="663" t="s">
        <v>1501</v>
      </c>
      <c r="C69" s="662"/>
      <c r="D69" s="664" t="s">
        <v>1502</v>
      </c>
      <c r="E69" s="665">
        <v>42000</v>
      </c>
      <c r="F69" s="666" t="s">
        <v>1503</v>
      </c>
      <c r="G69" s="667" t="s">
        <v>1504</v>
      </c>
      <c r="H69" s="668">
        <v>43780</v>
      </c>
      <c r="I69" s="669" t="s">
        <v>1505</v>
      </c>
      <c r="J69" s="670"/>
    </row>
    <row r="70" spans="1:10" x14ac:dyDescent="0.2">
      <c r="A70" s="662"/>
      <c r="B70" s="663"/>
      <c r="C70" s="662"/>
      <c r="D70" s="664"/>
      <c r="E70" s="665">
        <v>298800</v>
      </c>
      <c r="F70" s="666" t="s">
        <v>1506</v>
      </c>
      <c r="G70" s="667" t="s">
        <v>1504</v>
      </c>
      <c r="H70" s="668">
        <v>43826</v>
      </c>
      <c r="I70" s="669" t="s">
        <v>1505</v>
      </c>
      <c r="J70" s="670"/>
    </row>
    <row r="71" spans="1:10" x14ac:dyDescent="0.2">
      <c r="A71" s="662" t="s">
        <v>1507</v>
      </c>
      <c r="B71" s="663" t="s">
        <v>1508</v>
      </c>
      <c r="C71" s="662"/>
      <c r="D71" s="664" t="s">
        <v>1509</v>
      </c>
      <c r="E71" s="665">
        <v>76500</v>
      </c>
      <c r="F71" s="666" t="s">
        <v>1510</v>
      </c>
      <c r="G71" s="667" t="s">
        <v>1504</v>
      </c>
      <c r="H71" s="668">
        <v>43754</v>
      </c>
      <c r="I71" s="669" t="s">
        <v>1505</v>
      </c>
      <c r="J71" s="670"/>
    </row>
    <row r="72" spans="1:10" x14ac:dyDescent="0.2">
      <c r="A72" s="662" t="s">
        <v>1511</v>
      </c>
      <c r="B72" s="663" t="s">
        <v>1512</v>
      </c>
      <c r="C72" s="662"/>
      <c r="D72" s="664" t="s">
        <v>1513</v>
      </c>
      <c r="E72" s="665">
        <v>139181</v>
      </c>
      <c r="F72" s="666" t="s">
        <v>1514</v>
      </c>
      <c r="G72" s="667" t="s">
        <v>1504</v>
      </c>
      <c r="H72" s="668">
        <v>43669</v>
      </c>
      <c r="I72" s="669" t="s">
        <v>1505</v>
      </c>
      <c r="J72" s="670"/>
    </row>
    <row r="73" spans="1:10" x14ac:dyDescent="0.2">
      <c r="A73" s="662" t="s">
        <v>1515</v>
      </c>
      <c r="B73" s="663" t="s">
        <v>1512</v>
      </c>
      <c r="C73" s="662"/>
      <c r="D73" s="664" t="s">
        <v>1516</v>
      </c>
      <c r="E73" s="665">
        <v>360000</v>
      </c>
      <c r="F73" s="666" t="s">
        <v>1517</v>
      </c>
      <c r="G73" s="667" t="s">
        <v>1504</v>
      </c>
      <c r="H73" s="668">
        <v>43669</v>
      </c>
      <c r="I73" s="669" t="s">
        <v>1505</v>
      </c>
      <c r="J73" s="670"/>
    </row>
    <row r="74" spans="1:10" x14ac:dyDescent="0.2">
      <c r="A74" s="662" t="s">
        <v>1518</v>
      </c>
      <c r="B74" s="663" t="s">
        <v>1519</v>
      </c>
      <c r="C74" s="662"/>
      <c r="D74" s="664" t="s">
        <v>1520</v>
      </c>
      <c r="E74" s="665">
        <v>62968.32</v>
      </c>
      <c r="F74" s="666" t="s">
        <v>1521</v>
      </c>
      <c r="G74" s="667" t="s">
        <v>1522</v>
      </c>
      <c r="H74" s="668">
        <v>43647</v>
      </c>
      <c r="I74" s="669" t="s">
        <v>1505</v>
      </c>
      <c r="J74" s="670"/>
    </row>
    <row r="75" spans="1:10" x14ac:dyDescent="0.2">
      <c r="A75" s="662" t="s">
        <v>1523</v>
      </c>
      <c r="B75" s="663" t="s">
        <v>1512</v>
      </c>
      <c r="C75" s="662"/>
      <c r="D75" s="671" t="s">
        <v>1524</v>
      </c>
      <c r="E75" s="665">
        <v>39974.400000000001</v>
      </c>
      <c r="F75" s="672" t="s">
        <v>1521</v>
      </c>
      <c r="G75" s="667" t="s">
        <v>1522</v>
      </c>
      <c r="H75" s="668">
        <v>43647</v>
      </c>
      <c r="I75" s="669" t="s">
        <v>1505</v>
      </c>
      <c r="J75" s="670"/>
    </row>
    <row r="76" spans="1:10" x14ac:dyDescent="0.2">
      <c r="A76" s="662" t="s">
        <v>1525</v>
      </c>
      <c r="B76" s="663" t="s">
        <v>1526</v>
      </c>
      <c r="C76" s="662"/>
      <c r="D76" s="671" t="s">
        <v>1509</v>
      </c>
      <c r="E76" s="665">
        <v>675949.25</v>
      </c>
      <c r="F76" s="672" t="s">
        <v>1527</v>
      </c>
      <c r="G76" s="667" t="s">
        <v>1522</v>
      </c>
      <c r="H76" s="668">
        <v>43658</v>
      </c>
      <c r="I76" s="669" t="s">
        <v>1505</v>
      </c>
      <c r="J76" s="670"/>
    </row>
    <row r="77" spans="1:10" x14ac:dyDescent="0.2">
      <c r="A77" s="662" t="s">
        <v>1528</v>
      </c>
      <c r="B77" s="663" t="s">
        <v>1512</v>
      </c>
      <c r="C77" s="662"/>
      <c r="D77" s="671" t="s">
        <v>1529</v>
      </c>
      <c r="E77" s="665">
        <v>74800</v>
      </c>
      <c r="F77" s="672" t="s">
        <v>1530</v>
      </c>
      <c r="G77" s="667" t="s">
        <v>1504</v>
      </c>
      <c r="H77" s="668">
        <v>43636</v>
      </c>
      <c r="I77" s="669" t="s">
        <v>1505</v>
      </c>
      <c r="J77" s="670"/>
    </row>
    <row r="78" spans="1:10" x14ac:dyDescent="0.2">
      <c r="A78" s="662" t="s">
        <v>1531</v>
      </c>
      <c r="B78" s="663" t="s">
        <v>1512</v>
      </c>
      <c r="C78" s="662"/>
      <c r="D78" s="671" t="s">
        <v>1532</v>
      </c>
      <c r="E78" s="665">
        <v>178184.05</v>
      </c>
      <c r="F78" s="672" t="s">
        <v>1533</v>
      </c>
      <c r="G78" s="667" t="s">
        <v>1504</v>
      </c>
      <c r="H78" s="668">
        <v>43621</v>
      </c>
      <c r="I78" s="669" t="s">
        <v>1505</v>
      </c>
      <c r="J78" s="670"/>
    </row>
    <row r="79" spans="1:10" x14ac:dyDescent="0.2">
      <c r="A79" s="662" t="s">
        <v>1534</v>
      </c>
      <c r="B79" s="663" t="s">
        <v>1512</v>
      </c>
      <c r="C79" s="662"/>
      <c r="D79" s="671" t="s">
        <v>1535</v>
      </c>
      <c r="E79" s="665">
        <v>300000</v>
      </c>
      <c r="F79" s="672" t="s">
        <v>1536</v>
      </c>
      <c r="G79" s="667" t="s">
        <v>1504</v>
      </c>
      <c r="H79" s="668">
        <v>43615</v>
      </c>
      <c r="I79" s="669" t="s">
        <v>1505</v>
      </c>
      <c r="J79" s="670"/>
    </row>
    <row r="80" spans="1:10" x14ac:dyDescent="0.2">
      <c r="A80" s="662" t="s">
        <v>1537</v>
      </c>
      <c r="B80" s="663" t="s">
        <v>1512</v>
      </c>
      <c r="C80" s="662"/>
      <c r="D80" s="671" t="s">
        <v>1538</v>
      </c>
      <c r="E80" s="665">
        <v>66600</v>
      </c>
      <c r="F80" s="672" t="s">
        <v>1539</v>
      </c>
      <c r="G80" s="667" t="s">
        <v>1522</v>
      </c>
      <c r="H80" s="668">
        <v>43612</v>
      </c>
      <c r="I80" s="669" t="s">
        <v>1505</v>
      </c>
      <c r="J80" s="670"/>
    </row>
    <row r="81" spans="1:10" x14ac:dyDescent="0.2">
      <c r="A81" s="662" t="s">
        <v>1540</v>
      </c>
      <c r="B81" s="663" t="s">
        <v>1512</v>
      </c>
      <c r="C81" s="662"/>
      <c r="D81" s="671" t="s">
        <v>1541</v>
      </c>
      <c r="E81" s="665">
        <v>225686.16</v>
      </c>
      <c r="F81" s="672" t="s">
        <v>1542</v>
      </c>
      <c r="G81" s="667" t="s">
        <v>1522</v>
      </c>
      <c r="H81" s="668">
        <v>43601</v>
      </c>
      <c r="I81" s="669" t="s">
        <v>1505</v>
      </c>
      <c r="J81" s="670"/>
    </row>
    <row r="82" spans="1:10" x14ac:dyDescent="0.2">
      <c r="A82" s="662" t="s">
        <v>1543</v>
      </c>
      <c r="B82" s="663" t="s">
        <v>1512</v>
      </c>
      <c r="C82" s="662"/>
      <c r="D82" s="671" t="s">
        <v>1509</v>
      </c>
      <c r="E82" s="665">
        <v>44000</v>
      </c>
      <c r="F82" s="672" t="s">
        <v>1544</v>
      </c>
      <c r="G82" s="667" t="s">
        <v>1504</v>
      </c>
      <c r="H82" s="668">
        <v>43595</v>
      </c>
      <c r="I82" s="669" t="s">
        <v>1505</v>
      </c>
      <c r="J82" s="670"/>
    </row>
    <row r="83" spans="1:10" x14ac:dyDescent="0.2">
      <c r="A83" s="662" t="s">
        <v>1545</v>
      </c>
      <c r="B83" s="663" t="s">
        <v>1546</v>
      </c>
      <c r="C83" s="662"/>
      <c r="D83" s="671" t="s">
        <v>1547</v>
      </c>
      <c r="E83" s="665">
        <v>64000</v>
      </c>
      <c r="F83" s="672" t="s">
        <v>1548</v>
      </c>
      <c r="G83" s="667" t="s">
        <v>1504</v>
      </c>
      <c r="H83" s="668">
        <v>43965</v>
      </c>
      <c r="I83" s="669" t="s">
        <v>1549</v>
      </c>
      <c r="J83" s="670"/>
    </row>
    <row r="84" spans="1:10" x14ac:dyDescent="0.2">
      <c r="A84" s="662" t="s">
        <v>1550</v>
      </c>
      <c r="B84" s="663" t="s">
        <v>1508</v>
      </c>
      <c r="C84" s="662"/>
      <c r="D84" s="671" t="s">
        <v>1551</v>
      </c>
      <c r="E84" s="665">
        <v>625548.19999999995</v>
      </c>
      <c r="F84" s="672"/>
      <c r="G84" s="667" t="s">
        <v>1552</v>
      </c>
      <c r="H84" s="668"/>
      <c r="I84" s="669"/>
      <c r="J84" s="670" t="s">
        <v>1553</v>
      </c>
    </row>
    <row r="85" spans="1:10" x14ac:dyDescent="0.2">
      <c r="A85" s="662" t="s">
        <v>1554</v>
      </c>
      <c r="B85" s="663" t="s">
        <v>1508</v>
      </c>
      <c r="C85" s="662"/>
      <c r="D85" s="671" t="s">
        <v>1555</v>
      </c>
      <c r="E85" s="665">
        <v>1622416</v>
      </c>
      <c r="F85" s="672"/>
      <c r="G85" s="667" t="s">
        <v>1556</v>
      </c>
      <c r="H85" s="668"/>
      <c r="I85" s="669"/>
      <c r="J85" s="670" t="s">
        <v>1556</v>
      </c>
    </row>
    <row r="86" spans="1:10" x14ac:dyDescent="0.2">
      <c r="A86" s="662" t="s">
        <v>1557</v>
      </c>
      <c r="B86" s="663" t="s">
        <v>1546</v>
      </c>
      <c r="C86" s="662"/>
      <c r="D86" s="671" t="s">
        <v>1558</v>
      </c>
      <c r="E86" s="665">
        <v>226240</v>
      </c>
      <c r="F86" s="672"/>
      <c r="G86" s="667" t="s">
        <v>1552</v>
      </c>
      <c r="H86" s="668"/>
      <c r="I86" s="669"/>
      <c r="J86" s="670" t="s">
        <v>1553</v>
      </c>
    </row>
    <row r="87" spans="1:10" x14ac:dyDescent="0.2">
      <c r="A87" s="662" t="s">
        <v>1559</v>
      </c>
      <c r="B87" s="663" t="s">
        <v>1546</v>
      </c>
      <c r="C87" s="662"/>
      <c r="D87" s="671" t="s">
        <v>1560</v>
      </c>
      <c r="E87" s="665">
        <v>395008</v>
      </c>
      <c r="F87" s="672"/>
      <c r="G87" s="667" t="s">
        <v>1552</v>
      </c>
      <c r="H87" s="668"/>
      <c r="I87" s="669"/>
      <c r="J87" s="670" t="s">
        <v>1553</v>
      </c>
    </row>
    <row r="88" spans="1:10" x14ac:dyDescent="0.2">
      <c r="A88" s="662" t="s">
        <v>1561</v>
      </c>
      <c r="B88" s="663" t="s">
        <v>1519</v>
      </c>
      <c r="C88" s="662"/>
      <c r="D88" s="671" t="s">
        <v>1562</v>
      </c>
      <c r="E88" s="665">
        <v>19027.02</v>
      </c>
      <c r="F88" s="672" t="s">
        <v>1563</v>
      </c>
      <c r="G88" s="667" t="s">
        <v>1522</v>
      </c>
      <c r="H88" s="668"/>
      <c r="I88" s="669" t="s">
        <v>1505</v>
      </c>
      <c r="J88" s="670"/>
    </row>
    <row r="89" spans="1:10" x14ac:dyDescent="0.2">
      <c r="A89" s="662" t="s">
        <v>1564</v>
      </c>
      <c r="B89" s="663" t="s">
        <v>1519</v>
      </c>
      <c r="C89" s="662"/>
      <c r="D89" s="671" t="s">
        <v>1562</v>
      </c>
      <c r="E89" s="665">
        <v>126463.97</v>
      </c>
      <c r="F89" s="672" t="s">
        <v>1565</v>
      </c>
      <c r="G89" s="667" t="s">
        <v>1522</v>
      </c>
      <c r="H89" s="668"/>
      <c r="I89" s="669" t="s">
        <v>1505</v>
      </c>
      <c r="J89" s="670"/>
    </row>
    <row r="90" spans="1:10" x14ac:dyDescent="0.2">
      <c r="A90" s="662" t="s">
        <v>1566</v>
      </c>
      <c r="B90" s="663" t="s">
        <v>1519</v>
      </c>
      <c r="C90" s="662"/>
      <c r="D90" s="671" t="s">
        <v>1562</v>
      </c>
      <c r="E90" s="665">
        <v>116850.47</v>
      </c>
      <c r="F90" s="672" t="s">
        <v>1567</v>
      </c>
      <c r="G90" s="667" t="s">
        <v>1522</v>
      </c>
      <c r="H90" s="668"/>
      <c r="I90" s="669" t="s">
        <v>1505</v>
      </c>
      <c r="J90" s="670"/>
    </row>
    <row r="91" spans="1:10" x14ac:dyDescent="0.2">
      <c r="A91" s="662" t="s">
        <v>1568</v>
      </c>
      <c r="B91" s="663" t="s">
        <v>1519</v>
      </c>
      <c r="C91" s="662"/>
      <c r="D91" s="671" t="s">
        <v>1562</v>
      </c>
      <c r="E91" s="665">
        <v>925</v>
      </c>
      <c r="F91" s="672" t="s">
        <v>1569</v>
      </c>
      <c r="G91" s="667" t="s">
        <v>1522</v>
      </c>
      <c r="H91" s="668"/>
      <c r="I91" s="669" t="s">
        <v>1505</v>
      </c>
      <c r="J91" s="670"/>
    </row>
    <row r="92" spans="1:10" x14ac:dyDescent="0.2">
      <c r="A92" s="662" t="s">
        <v>1570</v>
      </c>
      <c r="B92" s="663" t="s">
        <v>1519</v>
      </c>
      <c r="C92" s="662"/>
      <c r="D92" s="671" t="s">
        <v>1562</v>
      </c>
      <c r="E92" s="665">
        <v>114918.1</v>
      </c>
      <c r="F92" s="672" t="s">
        <v>1571</v>
      </c>
      <c r="G92" s="667" t="s">
        <v>1522</v>
      </c>
      <c r="H92" s="668"/>
      <c r="I92" s="669" t="s">
        <v>1505</v>
      </c>
      <c r="J92" s="670"/>
    </row>
    <row r="93" spans="1:10" x14ac:dyDescent="0.2">
      <c r="A93" s="662" t="s">
        <v>1572</v>
      </c>
      <c r="B93" s="663" t="s">
        <v>1519</v>
      </c>
      <c r="C93" s="662"/>
      <c r="D93" s="671" t="s">
        <v>1562</v>
      </c>
      <c r="E93" s="665">
        <v>270</v>
      </c>
      <c r="F93" s="672" t="s">
        <v>1573</v>
      </c>
      <c r="G93" s="667" t="s">
        <v>1522</v>
      </c>
      <c r="H93" s="668"/>
      <c r="I93" s="669" t="s">
        <v>1505</v>
      </c>
      <c r="J93" s="670"/>
    </row>
    <row r="94" spans="1:10" x14ac:dyDescent="0.2">
      <c r="A94" s="662" t="s">
        <v>1574</v>
      </c>
      <c r="B94" s="663" t="s">
        <v>1519</v>
      </c>
      <c r="C94" s="662"/>
      <c r="D94" s="671" t="s">
        <v>1562</v>
      </c>
      <c r="E94" s="665">
        <v>307151.03999999998</v>
      </c>
      <c r="F94" s="672" t="s">
        <v>1575</v>
      </c>
      <c r="G94" s="667" t="s">
        <v>1522</v>
      </c>
      <c r="H94" s="668"/>
      <c r="I94" s="669" t="s">
        <v>1505</v>
      </c>
      <c r="J94" s="670"/>
    </row>
    <row r="95" spans="1:10" x14ac:dyDescent="0.2">
      <c r="A95" s="662" t="s">
        <v>1576</v>
      </c>
      <c r="B95" s="663" t="s">
        <v>1519</v>
      </c>
      <c r="C95" s="662"/>
      <c r="D95" s="671" t="s">
        <v>1562</v>
      </c>
      <c r="E95" s="665">
        <v>15848.63</v>
      </c>
      <c r="F95" s="672" t="s">
        <v>1577</v>
      </c>
      <c r="G95" s="667" t="s">
        <v>1522</v>
      </c>
      <c r="H95" s="668"/>
      <c r="I95" s="669" t="s">
        <v>1505</v>
      </c>
      <c r="J95" s="670"/>
    </row>
    <row r="96" spans="1:10" x14ac:dyDescent="0.2">
      <c r="A96" s="662" t="s">
        <v>1578</v>
      </c>
      <c r="B96" s="663" t="s">
        <v>1519</v>
      </c>
      <c r="C96" s="662"/>
      <c r="D96" s="671" t="s">
        <v>1562</v>
      </c>
      <c r="E96" s="665">
        <v>1530</v>
      </c>
      <c r="F96" s="672" t="s">
        <v>1579</v>
      </c>
      <c r="G96" s="667" t="s">
        <v>1522</v>
      </c>
      <c r="H96" s="668"/>
      <c r="I96" s="669" t="s">
        <v>1505</v>
      </c>
      <c r="J96" s="670"/>
    </row>
    <row r="97" spans="1:10" x14ac:dyDescent="0.2">
      <c r="A97" s="662" t="s">
        <v>1580</v>
      </c>
      <c r="B97" s="663" t="s">
        <v>1519</v>
      </c>
      <c r="C97" s="662"/>
      <c r="D97" s="671" t="s">
        <v>1562</v>
      </c>
      <c r="E97" s="665">
        <v>7380</v>
      </c>
      <c r="F97" s="672" t="s">
        <v>1503</v>
      </c>
      <c r="G97" s="667" t="s">
        <v>1522</v>
      </c>
      <c r="H97" s="668"/>
      <c r="I97" s="669" t="s">
        <v>1505</v>
      </c>
      <c r="J97" s="670"/>
    </row>
    <row r="98" spans="1:10" x14ac:dyDescent="0.2">
      <c r="A98" s="662" t="s">
        <v>1581</v>
      </c>
      <c r="B98" s="663" t="s">
        <v>1519</v>
      </c>
      <c r="C98" s="662"/>
      <c r="D98" s="671" t="s">
        <v>1562</v>
      </c>
      <c r="E98" s="665">
        <v>140500</v>
      </c>
      <c r="F98" s="672" t="s">
        <v>1582</v>
      </c>
      <c r="G98" s="667" t="s">
        <v>1522</v>
      </c>
      <c r="H98" s="668"/>
      <c r="I98" s="669" t="s">
        <v>1505</v>
      </c>
      <c r="J98" s="670"/>
    </row>
    <row r="99" spans="1:10" x14ac:dyDescent="0.2">
      <c r="A99" s="662" t="s">
        <v>1583</v>
      </c>
      <c r="B99" s="663" t="s">
        <v>1519</v>
      </c>
      <c r="C99" s="662"/>
      <c r="D99" s="671" t="s">
        <v>1562</v>
      </c>
      <c r="E99" s="665">
        <v>55388.88</v>
      </c>
      <c r="F99" s="672" t="s">
        <v>1584</v>
      </c>
      <c r="G99" s="667" t="s">
        <v>1522</v>
      </c>
      <c r="H99" s="668"/>
      <c r="I99" s="669" t="s">
        <v>1505</v>
      </c>
      <c r="J99" s="670"/>
    </row>
    <row r="100" spans="1:10" x14ac:dyDescent="0.2">
      <c r="A100" s="662" t="s">
        <v>1585</v>
      </c>
      <c r="B100" s="663" t="s">
        <v>1519</v>
      </c>
      <c r="C100" s="662"/>
      <c r="D100" s="671" t="s">
        <v>1562</v>
      </c>
      <c r="E100" s="665">
        <v>473.55</v>
      </c>
      <c r="F100" s="672" t="s">
        <v>1586</v>
      </c>
      <c r="G100" s="667" t="s">
        <v>1522</v>
      </c>
      <c r="H100" s="668"/>
      <c r="I100" s="669" t="s">
        <v>1505</v>
      </c>
      <c r="J100" s="670"/>
    </row>
    <row r="101" spans="1:10" x14ac:dyDescent="0.2">
      <c r="A101" s="662" t="s">
        <v>1587</v>
      </c>
      <c r="B101" s="663" t="s">
        <v>1519</v>
      </c>
      <c r="C101" s="662"/>
      <c r="D101" s="671" t="s">
        <v>1562</v>
      </c>
      <c r="E101" s="665">
        <v>48930.01</v>
      </c>
      <c r="F101" s="672" t="s">
        <v>1588</v>
      </c>
      <c r="G101" s="667" t="s">
        <v>1522</v>
      </c>
      <c r="H101" s="668"/>
      <c r="I101" s="669" t="s">
        <v>1505</v>
      </c>
      <c r="J101" s="670"/>
    </row>
    <row r="102" spans="1:10" x14ac:dyDescent="0.2">
      <c r="A102" s="662" t="s">
        <v>1589</v>
      </c>
      <c r="B102" s="663" t="s">
        <v>1519</v>
      </c>
      <c r="C102" s="662"/>
      <c r="D102" s="671" t="s">
        <v>1562</v>
      </c>
      <c r="E102" s="665">
        <v>53044.46</v>
      </c>
      <c r="F102" s="672" t="s">
        <v>1590</v>
      </c>
      <c r="G102" s="667" t="s">
        <v>1522</v>
      </c>
      <c r="H102" s="668"/>
      <c r="I102" s="669" t="s">
        <v>1505</v>
      </c>
      <c r="J102" s="670"/>
    </row>
    <row r="103" spans="1:10" x14ac:dyDescent="0.2">
      <c r="A103" s="662" t="s">
        <v>1591</v>
      </c>
      <c r="B103" s="663" t="s">
        <v>1519</v>
      </c>
      <c r="C103" s="662"/>
      <c r="D103" s="671" t="s">
        <v>1562</v>
      </c>
      <c r="E103" s="665">
        <v>9600</v>
      </c>
      <c r="F103" s="672" t="s">
        <v>1592</v>
      </c>
      <c r="G103" s="667" t="s">
        <v>1522</v>
      </c>
      <c r="H103" s="668"/>
      <c r="I103" s="669" t="s">
        <v>1505</v>
      </c>
      <c r="J103" s="670"/>
    </row>
    <row r="104" spans="1:10" x14ac:dyDescent="0.2">
      <c r="A104" s="662" t="s">
        <v>1593</v>
      </c>
      <c r="B104" s="663" t="s">
        <v>1519</v>
      </c>
      <c r="C104" s="662"/>
      <c r="D104" s="671" t="s">
        <v>1594</v>
      </c>
      <c r="E104" s="665">
        <v>37199.82</v>
      </c>
      <c r="F104" s="672" t="s">
        <v>1595</v>
      </c>
      <c r="G104" s="667" t="s">
        <v>1522</v>
      </c>
      <c r="H104" s="668"/>
      <c r="I104" s="669" t="s">
        <v>1505</v>
      </c>
      <c r="J104" s="670"/>
    </row>
    <row r="105" spans="1:10" x14ac:dyDescent="0.2">
      <c r="A105" s="662" t="s">
        <v>1596</v>
      </c>
      <c r="B105" s="663" t="s">
        <v>1519</v>
      </c>
      <c r="C105" s="662"/>
      <c r="D105" s="664" t="s">
        <v>1594</v>
      </c>
      <c r="E105" s="665">
        <v>224.89</v>
      </c>
      <c r="F105" s="666" t="s">
        <v>1595</v>
      </c>
      <c r="G105" s="667" t="s">
        <v>1522</v>
      </c>
      <c r="H105" s="668"/>
      <c r="I105" s="669" t="s">
        <v>1505</v>
      </c>
      <c r="J105" s="670"/>
    </row>
    <row r="106" spans="1:10" x14ac:dyDescent="0.2">
      <c r="A106" s="662" t="s">
        <v>1597</v>
      </c>
      <c r="B106" s="663" t="s">
        <v>1519</v>
      </c>
      <c r="C106" s="662"/>
      <c r="D106" s="664" t="s">
        <v>1594</v>
      </c>
      <c r="E106" s="665">
        <v>25176</v>
      </c>
      <c r="F106" s="666" t="s">
        <v>1598</v>
      </c>
      <c r="G106" s="667" t="s">
        <v>1522</v>
      </c>
      <c r="H106" s="668"/>
      <c r="I106" s="669" t="s">
        <v>1505</v>
      </c>
      <c r="J106" s="670"/>
    </row>
    <row r="107" spans="1:10" x14ac:dyDescent="0.2">
      <c r="A107" s="662" t="s">
        <v>1599</v>
      </c>
      <c r="B107" s="663" t="s">
        <v>1519</v>
      </c>
      <c r="C107" s="662"/>
      <c r="D107" s="664" t="s">
        <v>1594</v>
      </c>
      <c r="E107" s="665">
        <v>71.5</v>
      </c>
      <c r="F107" s="666" t="s">
        <v>1600</v>
      </c>
      <c r="G107" s="667" t="s">
        <v>1522</v>
      </c>
      <c r="H107" s="668"/>
      <c r="I107" s="669" t="s">
        <v>1505</v>
      </c>
      <c r="J107" s="670"/>
    </row>
    <row r="108" spans="1:10" x14ac:dyDescent="0.2">
      <c r="A108" s="662" t="s">
        <v>1601</v>
      </c>
      <c r="B108" s="663" t="s">
        <v>1519</v>
      </c>
      <c r="C108" s="662"/>
      <c r="D108" s="664" t="s">
        <v>1594</v>
      </c>
      <c r="E108" s="665">
        <v>4522.1000000000004</v>
      </c>
      <c r="F108" s="666" t="s">
        <v>1588</v>
      </c>
      <c r="G108" s="667" t="s">
        <v>1522</v>
      </c>
      <c r="H108" s="668"/>
      <c r="I108" s="669" t="s">
        <v>1505</v>
      </c>
      <c r="J108" s="670"/>
    </row>
    <row r="109" spans="1:10" x14ac:dyDescent="0.2">
      <c r="A109" s="662" t="s">
        <v>1602</v>
      </c>
      <c r="B109" s="663" t="s">
        <v>1519</v>
      </c>
      <c r="C109" s="662"/>
      <c r="D109" s="664" t="s">
        <v>1594</v>
      </c>
      <c r="E109" s="665">
        <v>1570.8</v>
      </c>
      <c r="F109" s="666" t="s">
        <v>1588</v>
      </c>
      <c r="G109" s="667" t="s">
        <v>1522</v>
      </c>
      <c r="H109" s="668"/>
      <c r="I109" s="669" t="s">
        <v>1505</v>
      </c>
      <c r="J109" s="670"/>
    </row>
    <row r="110" spans="1:10" x14ac:dyDescent="0.2">
      <c r="A110" s="662" t="s">
        <v>1603</v>
      </c>
      <c r="B110" s="663" t="s">
        <v>1519</v>
      </c>
      <c r="C110" s="662"/>
      <c r="D110" s="664" t="s">
        <v>1604</v>
      </c>
      <c r="E110" s="665">
        <v>33400</v>
      </c>
      <c r="F110" s="666" t="s">
        <v>1605</v>
      </c>
      <c r="G110" s="667" t="s">
        <v>1522</v>
      </c>
      <c r="H110" s="668"/>
      <c r="I110" s="669" t="s">
        <v>1505</v>
      </c>
      <c r="J110" s="670"/>
    </row>
    <row r="111" spans="1:10" x14ac:dyDescent="0.2">
      <c r="A111" s="662" t="s">
        <v>1606</v>
      </c>
      <c r="B111" s="663" t="s">
        <v>1519</v>
      </c>
      <c r="C111" s="662"/>
      <c r="D111" s="664" t="s">
        <v>1604</v>
      </c>
      <c r="E111" s="665">
        <v>143650</v>
      </c>
      <c r="F111" s="666" t="s">
        <v>1569</v>
      </c>
      <c r="G111" s="667" t="s">
        <v>1522</v>
      </c>
      <c r="H111" s="668"/>
      <c r="I111" s="669" t="s">
        <v>1505</v>
      </c>
      <c r="J111" s="670"/>
    </row>
    <row r="112" spans="1:10" x14ac:dyDescent="0.2">
      <c r="A112" s="662" t="s">
        <v>1607</v>
      </c>
      <c r="B112" s="663" t="s">
        <v>1508</v>
      </c>
      <c r="C112" s="662"/>
      <c r="D112" s="664" t="s">
        <v>1608</v>
      </c>
      <c r="E112" s="665">
        <v>5160</v>
      </c>
      <c r="F112" s="666" t="s">
        <v>1586</v>
      </c>
      <c r="G112" s="667" t="s">
        <v>1522</v>
      </c>
      <c r="H112" s="668"/>
      <c r="I112" s="669" t="s">
        <v>1505</v>
      </c>
      <c r="J112" s="670"/>
    </row>
    <row r="113" spans="1:10" x14ac:dyDescent="0.2">
      <c r="A113" s="673" t="s">
        <v>0</v>
      </c>
      <c r="B113" s="673"/>
      <c r="C113" s="673"/>
      <c r="D113" s="673"/>
      <c r="E113" s="673"/>
      <c r="F113" s="673"/>
      <c r="G113" s="674"/>
      <c r="H113" s="674"/>
      <c r="I113" s="674"/>
      <c r="J113" s="674"/>
    </row>
    <row r="114" spans="1:10" x14ac:dyDescent="0.2">
      <c r="A114" s="563"/>
      <c r="B114" s="563"/>
      <c r="C114" s="563"/>
      <c r="D114" s="563"/>
      <c r="E114" s="563"/>
      <c r="F114" s="563"/>
      <c r="G114" s="490"/>
      <c r="H114" s="162"/>
      <c r="I114" s="162"/>
      <c r="J114" s="162"/>
    </row>
    <row r="115" spans="1:10" x14ac:dyDescent="0.2">
      <c r="A115" s="675"/>
      <c r="B115" s="675"/>
      <c r="C115" s="675"/>
      <c r="D115" s="675"/>
      <c r="E115" s="675"/>
      <c r="F115" s="675"/>
      <c r="G115" s="490"/>
      <c r="H115" s="162"/>
      <c r="I115" s="162"/>
      <c r="J115" s="162"/>
    </row>
    <row r="116" spans="1:10" x14ac:dyDescent="0.2">
      <c r="A116" s="490" t="s">
        <v>431</v>
      </c>
      <c r="B116" s="490"/>
      <c r="C116" s="490"/>
      <c r="D116" s="490"/>
      <c r="E116" s="490"/>
      <c r="F116" s="490"/>
      <c r="G116" s="490"/>
      <c r="H116" s="490"/>
      <c r="I116" s="490"/>
      <c r="J116" s="490"/>
    </row>
    <row r="117" spans="1:10" x14ac:dyDescent="0.2">
      <c r="A117" s="173" t="s">
        <v>460</v>
      </c>
      <c r="B117" s="490"/>
      <c r="C117" s="490"/>
      <c r="D117" s="490"/>
      <c r="E117" s="490"/>
      <c r="F117" s="490"/>
      <c r="G117" s="490"/>
      <c r="H117" s="490"/>
      <c r="I117" s="490"/>
      <c r="J117" s="490"/>
    </row>
    <row r="118" spans="1:10" ht="12.75" thickBot="1" x14ac:dyDescent="0.25">
      <c r="A118" s="15" t="s">
        <v>2087</v>
      </c>
      <c r="B118" s="15"/>
      <c r="C118" s="15"/>
      <c r="D118" s="15"/>
      <c r="E118" s="15"/>
      <c r="F118" s="15"/>
      <c r="G118" s="661"/>
      <c r="H118" s="162"/>
      <c r="I118" s="162"/>
      <c r="J118" s="162"/>
    </row>
    <row r="119" spans="1:10" ht="36.75" thickBot="1" x14ac:dyDescent="0.25">
      <c r="A119" s="503" t="s">
        <v>94</v>
      </c>
      <c r="B119" s="506" t="s">
        <v>93</v>
      </c>
      <c r="C119" s="506" t="s">
        <v>210</v>
      </c>
      <c r="D119" s="261" t="s">
        <v>211</v>
      </c>
      <c r="E119" s="261" t="s">
        <v>2</v>
      </c>
      <c r="F119" s="261" t="s">
        <v>209</v>
      </c>
      <c r="G119" s="506" t="s">
        <v>96</v>
      </c>
      <c r="H119" s="261" t="s">
        <v>171</v>
      </c>
      <c r="I119" s="261" t="s">
        <v>176</v>
      </c>
      <c r="J119" s="261" t="s">
        <v>95</v>
      </c>
    </row>
    <row r="120" spans="1:10" ht="72" x14ac:dyDescent="0.2">
      <c r="A120" s="803" t="s">
        <v>2183</v>
      </c>
      <c r="B120" s="804" t="s">
        <v>2184</v>
      </c>
      <c r="C120" s="805" t="s">
        <v>2185</v>
      </c>
      <c r="D120" s="806" t="s">
        <v>2186</v>
      </c>
      <c r="E120" s="807">
        <v>1504000</v>
      </c>
      <c r="F120" s="808" t="s">
        <v>2187</v>
      </c>
      <c r="G120" s="809" t="s">
        <v>2188</v>
      </c>
      <c r="H120" s="810" t="s">
        <v>2187</v>
      </c>
      <c r="I120" s="811">
        <v>44378</v>
      </c>
      <c r="J120" s="812" t="s">
        <v>2189</v>
      </c>
    </row>
    <row r="121" spans="1:10" ht="48" x14ac:dyDescent="0.2">
      <c r="A121" s="803" t="s">
        <v>2190</v>
      </c>
      <c r="B121" s="804" t="s">
        <v>2184</v>
      </c>
      <c r="C121" s="805" t="s">
        <v>2185</v>
      </c>
      <c r="D121" s="806" t="s">
        <v>2186</v>
      </c>
      <c r="E121" s="807">
        <v>656000</v>
      </c>
      <c r="F121" s="808" t="s">
        <v>2187</v>
      </c>
      <c r="G121" s="809" t="s">
        <v>2191</v>
      </c>
      <c r="H121" s="805" t="s">
        <v>2187</v>
      </c>
      <c r="I121" s="813">
        <v>44440</v>
      </c>
      <c r="J121" s="497"/>
    </row>
    <row r="122" spans="1:10" ht="48" x14ac:dyDescent="0.2">
      <c r="A122" s="676" t="s">
        <v>2192</v>
      </c>
      <c r="B122" s="495" t="s">
        <v>2193</v>
      </c>
      <c r="C122" s="805" t="s">
        <v>2185</v>
      </c>
      <c r="D122" s="806" t="s">
        <v>2186</v>
      </c>
      <c r="E122" s="814">
        <v>11575000</v>
      </c>
      <c r="F122" s="808" t="s">
        <v>2187</v>
      </c>
      <c r="G122" s="809" t="s">
        <v>2191</v>
      </c>
      <c r="H122" s="805" t="s">
        <v>2187</v>
      </c>
      <c r="I122" s="813">
        <v>44440</v>
      </c>
      <c r="J122" s="497"/>
    </row>
    <row r="123" spans="1:10" ht="48" x14ac:dyDescent="0.2">
      <c r="A123" s="676" t="s">
        <v>2194</v>
      </c>
      <c r="B123" s="804" t="s">
        <v>2195</v>
      </c>
      <c r="C123" s="805" t="s">
        <v>2185</v>
      </c>
      <c r="D123" s="806" t="s">
        <v>2186</v>
      </c>
      <c r="E123" s="807">
        <v>58800000</v>
      </c>
      <c r="F123" s="808" t="s">
        <v>2187</v>
      </c>
      <c r="G123" s="805" t="s">
        <v>2196</v>
      </c>
      <c r="H123" s="805" t="s">
        <v>2187</v>
      </c>
      <c r="I123" s="813">
        <v>44348</v>
      </c>
      <c r="J123" s="497"/>
    </row>
    <row r="124" spans="1:10" ht="48" x14ac:dyDescent="0.2">
      <c r="A124" s="803" t="s">
        <v>2197</v>
      </c>
      <c r="B124" s="804" t="s">
        <v>2184</v>
      </c>
      <c r="C124" s="805" t="s">
        <v>2185</v>
      </c>
      <c r="D124" s="806" t="s">
        <v>2186</v>
      </c>
      <c r="E124" s="807">
        <v>540840</v>
      </c>
      <c r="F124" s="808" t="s">
        <v>2187</v>
      </c>
      <c r="G124" s="805" t="s">
        <v>2198</v>
      </c>
      <c r="H124" s="805" t="s">
        <v>2187</v>
      </c>
      <c r="I124" s="813">
        <v>44348</v>
      </c>
      <c r="J124" s="497"/>
    </row>
    <row r="125" spans="1:10" ht="48.75" thickBot="1" x14ac:dyDescent="0.25">
      <c r="A125" s="803" t="s">
        <v>2199</v>
      </c>
      <c r="B125" s="804" t="s">
        <v>2184</v>
      </c>
      <c r="C125" s="805" t="s">
        <v>2185</v>
      </c>
      <c r="D125" s="806" t="s">
        <v>2186</v>
      </c>
      <c r="E125" s="807">
        <v>726200</v>
      </c>
      <c r="F125" s="808" t="s">
        <v>2187</v>
      </c>
      <c r="G125" s="809" t="s">
        <v>2191</v>
      </c>
      <c r="H125" s="805" t="s">
        <v>2187</v>
      </c>
      <c r="I125" s="813">
        <v>44440</v>
      </c>
      <c r="J125" s="497"/>
    </row>
    <row r="126" spans="1:10" ht="12.75" thickBot="1" x14ac:dyDescent="0.25">
      <c r="A126" s="132" t="s">
        <v>0</v>
      </c>
      <c r="B126" s="57"/>
      <c r="C126" s="41"/>
      <c r="D126" s="130"/>
      <c r="E126" s="128"/>
      <c r="F126" s="128"/>
      <c r="G126" s="51"/>
      <c r="H126" s="44"/>
      <c r="I126" s="44"/>
      <c r="J126" s="51"/>
    </row>
    <row r="127" spans="1:10" s="162" customFormat="1" x14ac:dyDescent="0.2">
      <c r="A127" s="1043"/>
      <c r="B127" s="1043"/>
      <c r="C127" s="1043"/>
      <c r="D127" s="1043"/>
      <c r="E127" s="1043"/>
      <c r="F127" s="1043"/>
      <c r="G127" s="35"/>
      <c r="H127" s="35"/>
      <c r="I127" s="35"/>
      <c r="J127" s="35"/>
    </row>
    <row r="128" spans="1:10" x14ac:dyDescent="0.2">
      <c r="A128" s="563"/>
      <c r="B128" s="563"/>
      <c r="C128" s="563"/>
      <c r="D128" s="563"/>
      <c r="E128" s="563"/>
      <c r="F128" s="563"/>
      <c r="G128" s="490"/>
      <c r="H128" s="162"/>
      <c r="I128" s="162"/>
      <c r="J128" s="162"/>
    </row>
    <row r="129" spans="1:10" x14ac:dyDescent="0.2">
      <c r="A129" s="490" t="s">
        <v>431</v>
      </c>
      <c r="B129" s="490"/>
      <c r="C129" s="490"/>
      <c r="D129" s="490"/>
      <c r="E129" s="490"/>
      <c r="F129" s="490"/>
      <c r="G129" s="490"/>
      <c r="H129" s="490"/>
      <c r="I129" s="490"/>
      <c r="J129" s="490"/>
    </row>
    <row r="130" spans="1:10" x14ac:dyDescent="0.2">
      <c r="A130" s="173" t="s">
        <v>460</v>
      </c>
      <c r="B130" s="490"/>
      <c r="C130" s="490"/>
      <c r="D130" s="490"/>
      <c r="E130" s="490"/>
      <c r="F130" s="490"/>
      <c r="G130" s="490"/>
      <c r="H130" s="490"/>
      <c r="I130" s="490"/>
      <c r="J130" s="490"/>
    </row>
    <row r="131" spans="1:10" ht="12.75" thickBot="1" x14ac:dyDescent="0.25">
      <c r="A131" s="15" t="s">
        <v>2274</v>
      </c>
      <c r="B131" s="679"/>
      <c r="C131" s="679"/>
      <c r="D131" s="679"/>
      <c r="E131" s="679"/>
      <c r="F131" s="679"/>
      <c r="G131" s="661"/>
      <c r="H131" s="359"/>
      <c r="I131" s="359"/>
      <c r="J131" s="359"/>
    </row>
    <row r="132" spans="1:10" ht="36.75" thickBot="1" x14ac:dyDescent="0.25">
      <c r="A132" s="503" t="s">
        <v>94</v>
      </c>
      <c r="B132" s="506" t="s">
        <v>93</v>
      </c>
      <c r="C132" s="506" t="s">
        <v>210</v>
      </c>
      <c r="D132" s="261" t="s">
        <v>211</v>
      </c>
      <c r="E132" s="261" t="s">
        <v>2</v>
      </c>
      <c r="F132" s="261" t="s">
        <v>209</v>
      </c>
      <c r="G132" s="506" t="s">
        <v>96</v>
      </c>
      <c r="H132" s="261" t="s">
        <v>171</v>
      </c>
      <c r="I132" s="261" t="s">
        <v>176</v>
      </c>
      <c r="J132" s="261" t="s">
        <v>95</v>
      </c>
    </row>
    <row r="133" spans="1:10" ht="36" x14ac:dyDescent="0.2">
      <c r="A133" s="803" t="s">
        <v>2284</v>
      </c>
      <c r="B133" s="1030" t="s">
        <v>2285</v>
      </c>
      <c r="C133" s="676" t="s">
        <v>1445</v>
      </c>
      <c r="D133" s="563">
        <v>1</v>
      </c>
      <c r="E133" s="1031">
        <v>108000</v>
      </c>
      <c r="F133" s="1032" t="s">
        <v>2286</v>
      </c>
      <c r="G133" s="809" t="s">
        <v>2287</v>
      </c>
      <c r="H133" s="1033">
        <v>43613</v>
      </c>
      <c r="I133" s="1034"/>
      <c r="J133" s="497"/>
    </row>
    <row r="134" spans="1:10" ht="24" x14ac:dyDescent="0.2">
      <c r="A134" s="803" t="s">
        <v>2288</v>
      </c>
      <c r="B134" s="1030" t="s">
        <v>2285</v>
      </c>
      <c r="C134" s="676" t="s">
        <v>1445</v>
      </c>
      <c r="D134" s="806">
        <v>2</v>
      </c>
      <c r="E134" s="1031">
        <v>195080</v>
      </c>
      <c r="F134" s="1032" t="s">
        <v>2289</v>
      </c>
      <c r="G134" s="809" t="s">
        <v>2290</v>
      </c>
      <c r="H134" s="1035">
        <v>43678</v>
      </c>
      <c r="I134" s="497"/>
      <c r="J134" s="497"/>
    </row>
    <row r="135" spans="1:10" ht="36" x14ac:dyDescent="0.2">
      <c r="A135" s="803" t="s">
        <v>2291</v>
      </c>
      <c r="B135" s="1030" t="s">
        <v>2285</v>
      </c>
      <c r="C135" s="676" t="s">
        <v>1445</v>
      </c>
      <c r="D135" s="806">
        <v>3</v>
      </c>
      <c r="E135" s="1031">
        <v>199443.6</v>
      </c>
      <c r="F135" s="1036" t="s">
        <v>2292</v>
      </c>
      <c r="G135" s="809" t="s">
        <v>2290</v>
      </c>
      <c r="H135" s="1035">
        <v>43696</v>
      </c>
      <c r="I135" s="497"/>
      <c r="J135" s="497"/>
    </row>
    <row r="136" spans="1:10" ht="24" x14ac:dyDescent="0.2">
      <c r="A136" s="803" t="s">
        <v>2293</v>
      </c>
      <c r="B136" s="1030" t="s">
        <v>2285</v>
      </c>
      <c r="C136" s="676" t="s">
        <v>1445</v>
      </c>
      <c r="D136" s="563">
        <v>4</v>
      </c>
      <c r="E136" s="1031">
        <v>254880</v>
      </c>
      <c r="F136" s="1032" t="s">
        <v>2294</v>
      </c>
      <c r="G136" s="809" t="s">
        <v>2287</v>
      </c>
      <c r="H136" s="1035">
        <v>43691</v>
      </c>
      <c r="I136" s="497"/>
      <c r="J136" s="497"/>
    </row>
    <row r="137" spans="1:10" ht="48" x14ac:dyDescent="0.2">
      <c r="A137" s="803" t="s">
        <v>2295</v>
      </c>
      <c r="B137" s="1030" t="s">
        <v>2285</v>
      </c>
      <c r="C137" s="676" t="s">
        <v>1445</v>
      </c>
      <c r="D137" s="563">
        <v>5</v>
      </c>
      <c r="E137" s="1031">
        <v>128700</v>
      </c>
      <c r="F137" s="1032" t="s">
        <v>2292</v>
      </c>
      <c r="G137" s="809" t="s">
        <v>2290</v>
      </c>
      <c r="H137" s="1037" t="s">
        <v>2296</v>
      </c>
      <c r="I137" s="497"/>
      <c r="J137" s="497"/>
    </row>
    <row r="138" spans="1:10" ht="24" x14ac:dyDescent="0.2">
      <c r="A138" s="803" t="s">
        <v>2297</v>
      </c>
      <c r="B138" s="1030" t="s">
        <v>2195</v>
      </c>
      <c r="C138" s="676" t="s">
        <v>1445</v>
      </c>
      <c r="D138" s="563">
        <v>1</v>
      </c>
      <c r="E138" s="1031">
        <v>38000</v>
      </c>
      <c r="F138" s="1032" t="s">
        <v>2298</v>
      </c>
      <c r="G138" s="809" t="s">
        <v>2290</v>
      </c>
      <c r="H138" s="1033">
        <v>43913</v>
      </c>
      <c r="I138" s="497"/>
      <c r="J138" s="497"/>
    </row>
    <row r="139" spans="1:10" ht="24" x14ac:dyDescent="0.2">
      <c r="A139" s="803" t="s">
        <v>2299</v>
      </c>
      <c r="B139" s="1030" t="s">
        <v>2195</v>
      </c>
      <c r="C139" s="676" t="s">
        <v>1445</v>
      </c>
      <c r="D139" s="563">
        <v>2</v>
      </c>
      <c r="E139" s="1031">
        <v>46750</v>
      </c>
      <c r="F139" s="1038" t="s">
        <v>2298</v>
      </c>
      <c r="G139" s="809" t="s">
        <v>2290</v>
      </c>
      <c r="H139" s="1033">
        <v>43913</v>
      </c>
      <c r="I139" s="497"/>
      <c r="J139" s="497"/>
    </row>
    <row r="140" spans="1:10" ht="24" x14ac:dyDescent="0.2">
      <c r="A140" s="803" t="s">
        <v>2300</v>
      </c>
      <c r="B140" s="1030" t="s">
        <v>2195</v>
      </c>
      <c r="C140" s="676" t="s">
        <v>1445</v>
      </c>
      <c r="D140" s="563">
        <v>3</v>
      </c>
      <c r="E140" s="1031">
        <v>37642</v>
      </c>
      <c r="F140" s="1032" t="s">
        <v>2301</v>
      </c>
      <c r="G140" s="1039" t="s">
        <v>2287</v>
      </c>
      <c r="H140" s="1033">
        <v>43915</v>
      </c>
      <c r="I140" s="497"/>
      <c r="J140" s="497"/>
    </row>
    <row r="141" spans="1:10" ht="24" x14ac:dyDescent="0.2">
      <c r="A141" s="803" t="s">
        <v>2302</v>
      </c>
      <c r="B141" s="1030" t="s">
        <v>2195</v>
      </c>
      <c r="C141" s="676" t="s">
        <v>1445</v>
      </c>
      <c r="D141" s="563">
        <v>4</v>
      </c>
      <c r="E141" s="1031">
        <v>55000</v>
      </c>
      <c r="F141" s="1032" t="s">
        <v>2303</v>
      </c>
      <c r="G141" s="1039" t="s">
        <v>2287</v>
      </c>
      <c r="H141" s="1033">
        <v>43913</v>
      </c>
      <c r="I141" s="497"/>
      <c r="J141" s="497"/>
    </row>
    <row r="142" spans="1:10" ht="24" x14ac:dyDescent="0.2">
      <c r="A142" s="803" t="s">
        <v>2304</v>
      </c>
      <c r="B142" s="1030" t="s">
        <v>2195</v>
      </c>
      <c r="C142" s="676" t="s">
        <v>1445</v>
      </c>
      <c r="D142" s="563">
        <v>5</v>
      </c>
      <c r="E142" s="1031">
        <v>44085</v>
      </c>
      <c r="F142" s="1032" t="s">
        <v>2298</v>
      </c>
      <c r="G142" s="809" t="s">
        <v>2290</v>
      </c>
      <c r="H142" s="1033">
        <v>43945</v>
      </c>
      <c r="I142" s="497"/>
      <c r="J142" s="497"/>
    </row>
    <row r="143" spans="1:10" ht="24" x14ac:dyDescent="0.2">
      <c r="A143" s="676" t="s">
        <v>2305</v>
      </c>
      <c r="B143" s="1030" t="s">
        <v>2195</v>
      </c>
      <c r="C143" s="676" t="s">
        <v>1445</v>
      </c>
      <c r="D143" s="563">
        <v>6</v>
      </c>
      <c r="E143" s="1031">
        <v>88000</v>
      </c>
      <c r="F143" s="1032" t="s">
        <v>2298</v>
      </c>
      <c r="G143" s="809" t="s">
        <v>2290</v>
      </c>
      <c r="H143" s="1033">
        <v>43992</v>
      </c>
      <c r="I143" s="497"/>
      <c r="J143" s="497"/>
    </row>
    <row r="144" spans="1:10" ht="24" x14ac:dyDescent="0.2">
      <c r="A144" s="676" t="s">
        <v>2306</v>
      </c>
      <c r="B144" s="1030" t="s">
        <v>2195</v>
      </c>
      <c r="C144" s="676" t="s">
        <v>1445</v>
      </c>
      <c r="D144" s="563">
        <v>7</v>
      </c>
      <c r="E144" s="1031">
        <v>80000</v>
      </c>
      <c r="F144" s="1032" t="s">
        <v>2307</v>
      </c>
      <c r="G144" s="809" t="s">
        <v>2290</v>
      </c>
      <c r="H144" s="1033">
        <v>43992</v>
      </c>
      <c r="I144" s="497"/>
      <c r="J144" s="497"/>
    </row>
    <row r="145" spans="1:10" ht="60" x14ac:dyDescent="0.2">
      <c r="A145" s="803" t="s">
        <v>2308</v>
      </c>
      <c r="B145" s="1030" t="s">
        <v>2195</v>
      </c>
      <c r="C145" s="676" t="s">
        <v>1445</v>
      </c>
      <c r="D145" s="563">
        <v>8</v>
      </c>
      <c r="E145" s="1031">
        <v>70130.5</v>
      </c>
      <c r="F145" s="1036" t="s">
        <v>2309</v>
      </c>
      <c r="G145" s="809" t="s">
        <v>2287</v>
      </c>
      <c r="H145" s="1040" t="s">
        <v>2310</v>
      </c>
      <c r="I145" s="497"/>
      <c r="J145" s="497"/>
    </row>
    <row r="146" spans="1:10" ht="36" x14ac:dyDescent="0.2">
      <c r="A146" s="803" t="s">
        <v>2311</v>
      </c>
      <c r="B146" s="1030" t="s">
        <v>2285</v>
      </c>
      <c r="C146" s="676" t="s">
        <v>1445</v>
      </c>
      <c r="D146" s="563">
        <v>1</v>
      </c>
      <c r="E146" s="1031">
        <v>109440</v>
      </c>
      <c r="F146" s="1032" t="s">
        <v>2292</v>
      </c>
      <c r="G146" s="805" t="s">
        <v>2312</v>
      </c>
      <c r="H146" s="563" t="s">
        <v>561</v>
      </c>
      <c r="I146" s="497"/>
      <c r="J146" s="497"/>
    </row>
    <row r="147" spans="1:10" ht="36" x14ac:dyDescent="0.2">
      <c r="A147" s="803" t="s">
        <v>2313</v>
      </c>
      <c r="B147" s="1030" t="s">
        <v>2285</v>
      </c>
      <c r="C147" s="676" t="s">
        <v>1445</v>
      </c>
      <c r="D147" s="563">
        <v>2</v>
      </c>
      <c r="E147" s="1031">
        <v>175464</v>
      </c>
      <c r="F147" s="1032" t="s">
        <v>2292</v>
      </c>
      <c r="G147" s="805" t="s">
        <v>2312</v>
      </c>
      <c r="H147" s="563" t="s">
        <v>561</v>
      </c>
      <c r="I147" s="497"/>
      <c r="J147" s="497"/>
    </row>
    <row r="148" spans="1:10" ht="36" x14ac:dyDescent="0.2">
      <c r="A148" s="803" t="s">
        <v>2314</v>
      </c>
      <c r="B148" s="1030" t="s">
        <v>2195</v>
      </c>
      <c r="C148" s="676" t="s">
        <v>1445</v>
      </c>
      <c r="D148" s="563">
        <v>9</v>
      </c>
      <c r="E148" s="1031">
        <v>51600.5</v>
      </c>
      <c r="F148" s="1032" t="s">
        <v>2315</v>
      </c>
      <c r="G148" s="809" t="s">
        <v>148</v>
      </c>
      <c r="H148" s="1033">
        <v>44041</v>
      </c>
      <c r="I148" s="497"/>
      <c r="J148" s="497"/>
    </row>
    <row r="149" spans="1:10" ht="12.75" thickBot="1" x14ac:dyDescent="0.25">
      <c r="A149" s="86"/>
      <c r="B149" s="83"/>
      <c r="C149" s="33"/>
      <c r="D149" s="1041"/>
      <c r="E149" s="49"/>
      <c r="F149" s="49"/>
      <c r="G149" s="50"/>
      <c r="H149" s="28"/>
      <c r="I149" s="1042"/>
      <c r="J149" s="50"/>
    </row>
    <row r="150" spans="1:10" ht="12.75" thickBot="1" x14ac:dyDescent="0.25">
      <c r="A150" s="132" t="s">
        <v>0</v>
      </c>
      <c r="B150" s="57"/>
      <c r="C150" s="41"/>
      <c r="D150" s="130"/>
      <c r="E150" s="128"/>
      <c r="F150" s="128"/>
      <c r="G150" s="51"/>
      <c r="H150" s="44"/>
      <c r="I150" s="44"/>
      <c r="J150" s="51"/>
    </row>
    <row r="151" spans="1:10" x14ac:dyDescent="0.2">
      <c r="A151" s="563"/>
      <c r="B151" s="563"/>
      <c r="C151" s="563"/>
      <c r="D151" s="563"/>
      <c r="E151" s="563"/>
      <c r="F151" s="563"/>
      <c r="G151" s="490"/>
      <c r="H151" s="359"/>
      <c r="I151" s="359"/>
      <c r="J151" s="359"/>
    </row>
    <row r="153" spans="1:10" x14ac:dyDescent="0.2">
      <c r="A153" s="490" t="s">
        <v>431</v>
      </c>
      <c r="B153" s="490"/>
      <c r="C153" s="490"/>
      <c r="D153" s="490"/>
      <c r="E153" s="490"/>
      <c r="F153" s="490"/>
      <c r="G153" s="490"/>
      <c r="H153" s="490"/>
      <c r="I153" s="490"/>
      <c r="J153" s="490"/>
    </row>
    <row r="154" spans="1:10" x14ac:dyDescent="0.2">
      <c r="A154" s="173" t="s">
        <v>460</v>
      </c>
      <c r="B154" s="490"/>
      <c r="C154" s="490"/>
      <c r="D154" s="490"/>
      <c r="E154" s="490"/>
      <c r="F154" s="490"/>
      <c r="G154" s="490"/>
      <c r="H154" s="490"/>
      <c r="I154" s="490"/>
      <c r="J154" s="490"/>
    </row>
    <row r="155" spans="1:10" ht="12.75" thickBot="1" x14ac:dyDescent="0.25">
      <c r="A155" s="15" t="s">
        <v>2901</v>
      </c>
      <c r="B155" s="15"/>
      <c r="C155" s="15"/>
      <c r="D155" s="15"/>
      <c r="E155" s="15"/>
      <c r="F155" s="15"/>
      <c r="G155" s="661"/>
      <c r="H155" s="162"/>
      <c r="I155" s="162"/>
      <c r="J155" s="162"/>
    </row>
    <row r="156" spans="1:10" ht="36.75" thickBot="1" x14ac:dyDescent="0.25">
      <c r="A156" s="503" t="s">
        <v>94</v>
      </c>
      <c r="B156" s="506" t="s">
        <v>93</v>
      </c>
      <c r="C156" s="506" t="s">
        <v>210</v>
      </c>
      <c r="D156" s="261" t="s">
        <v>211</v>
      </c>
      <c r="E156" s="261" t="s">
        <v>2</v>
      </c>
      <c r="F156" s="261" t="s">
        <v>209</v>
      </c>
      <c r="G156" s="506" t="s">
        <v>96</v>
      </c>
      <c r="H156" s="261" t="s">
        <v>171</v>
      </c>
      <c r="I156" s="261" t="s">
        <v>176</v>
      </c>
      <c r="J156" s="261" t="s">
        <v>95</v>
      </c>
    </row>
    <row r="157" spans="1:10" ht="48" x14ac:dyDescent="0.2">
      <c r="A157" s="676" t="s">
        <v>2872</v>
      </c>
      <c r="B157" s="495" t="s">
        <v>2873</v>
      </c>
      <c r="C157" s="809" t="s">
        <v>2874</v>
      </c>
      <c r="D157" s="563" t="s">
        <v>2875</v>
      </c>
      <c r="E157" s="1184">
        <v>755700</v>
      </c>
      <c r="F157" s="808" t="s">
        <v>2876</v>
      </c>
      <c r="G157" s="809" t="s">
        <v>1294</v>
      </c>
      <c r="H157" s="1185">
        <v>43852</v>
      </c>
      <c r="I157" s="495" t="s">
        <v>1294</v>
      </c>
      <c r="J157" s="809" t="s">
        <v>2877</v>
      </c>
    </row>
    <row r="158" spans="1:10" ht="36" x14ac:dyDescent="0.2">
      <c r="A158" s="676" t="s">
        <v>2878</v>
      </c>
      <c r="B158" s="495" t="s">
        <v>2879</v>
      </c>
      <c r="C158" s="809" t="s">
        <v>2874</v>
      </c>
      <c r="D158" s="563" t="s">
        <v>2880</v>
      </c>
      <c r="E158" s="1184">
        <v>6980523.6399999997</v>
      </c>
      <c r="F158" s="808" t="s">
        <v>2881</v>
      </c>
      <c r="G158" s="809" t="s">
        <v>1294</v>
      </c>
      <c r="H158" s="1185">
        <v>43896</v>
      </c>
      <c r="I158" s="495" t="s">
        <v>2882</v>
      </c>
      <c r="J158" s="809"/>
    </row>
    <row r="159" spans="1:10" ht="48" x14ac:dyDescent="0.2">
      <c r="A159" s="803" t="s">
        <v>2883</v>
      </c>
      <c r="B159" s="495" t="s">
        <v>2884</v>
      </c>
      <c r="C159" s="809" t="s">
        <v>2874</v>
      </c>
      <c r="D159" s="563" t="s">
        <v>2875</v>
      </c>
      <c r="E159" s="1184">
        <v>2034000</v>
      </c>
      <c r="F159" s="808" t="s">
        <v>2885</v>
      </c>
      <c r="G159" s="809" t="s">
        <v>1294</v>
      </c>
      <c r="H159" s="1185">
        <v>43945</v>
      </c>
      <c r="I159" s="495" t="s">
        <v>1294</v>
      </c>
      <c r="J159" s="809" t="s">
        <v>2886</v>
      </c>
    </row>
    <row r="160" spans="1:10" ht="36" x14ac:dyDescent="0.2">
      <c r="A160" s="803" t="s">
        <v>2887</v>
      </c>
      <c r="B160" s="495" t="s">
        <v>2888</v>
      </c>
      <c r="C160" s="809" t="s">
        <v>2874</v>
      </c>
      <c r="D160" s="563" t="s">
        <v>2889</v>
      </c>
      <c r="E160" s="1184">
        <v>284024</v>
      </c>
      <c r="F160" s="808" t="s">
        <v>2890</v>
      </c>
      <c r="G160" s="809" t="s">
        <v>2891</v>
      </c>
      <c r="H160" s="1185">
        <v>43962</v>
      </c>
      <c r="I160" s="495" t="s">
        <v>2892</v>
      </c>
      <c r="J160" s="809"/>
    </row>
    <row r="161" spans="1:10" ht="24" x14ac:dyDescent="0.2">
      <c r="A161" s="676" t="s">
        <v>2893</v>
      </c>
      <c r="B161" s="495" t="s">
        <v>2888</v>
      </c>
      <c r="C161" s="809" t="s">
        <v>2874</v>
      </c>
      <c r="D161" s="563" t="s">
        <v>2894</v>
      </c>
      <c r="E161" s="1184">
        <v>295179.36</v>
      </c>
      <c r="F161" s="808" t="s">
        <v>2895</v>
      </c>
      <c r="G161" s="809" t="s">
        <v>1294</v>
      </c>
      <c r="H161" s="1185">
        <v>44057</v>
      </c>
      <c r="I161" s="495" t="s">
        <v>1294</v>
      </c>
      <c r="J161" s="809" t="s">
        <v>2877</v>
      </c>
    </row>
    <row r="162" spans="1:10" ht="48" x14ac:dyDescent="0.2">
      <c r="A162" s="676" t="s">
        <v>2896</v>
      </c>
      <c r="B162" s="495" t="s">
        <v>2897</v>
      </c>
      <c r="C162" s="809" t="s">
        <v>2874</v>
      </c>
      <c r="D162" s="563" t="s">
        <v>2898</v>
      </c>
      <c r="E162" s="1184">
        <v>60000</v>
      </c>
      <c r="F162" s="808" t="s">
        <v>2899</v>
      </c>
      <c r="G162" s="809" t="s">
        <v>2891</v>
      </c>
      <c r="H162" s="1185">
        <v>43934</v>
      </c>
      <c r="I162" s="813" t="s">
        <v>2900</v>
      </c>
      <c r="J162" s="809"/>
    </row>
    <row r="163" spans="1:10" x14ac:dyDescent="0.2">
      <c r="A163" s="676">
        <v>7</v>
      </c>
      <c r="B163" s="495"/>
      <c r="C163" s="809"/>
      <c r="D163" s="563"/>
      <c r="E163" s="1184"/>
      <c r="F163" s="1186"/>
      <c r="G163" s="809"/>
      <c r="H163" s="495"/>
      <c r="I163" s="495"/>
      <c r="J163" s="809"/>
    </row>
    <row r="164" spans="1:10" x14ac:dyDescent="0.2">
      <c r="A164" s="676">
        <v>8</v>
      </c>
      <c r="B164" s="495"/>
      <c r="C164" s="809"/>
      <c r="D164" s="563"/>
      <c r="E164" s="1184"/>
      <c r="F164" s="1186"/>
      <c r="G164" s="809"/>
      <c r="H164" s="495"/>
      <c r="I164" s="495"/>
      <c r="J164" s="809"/>
    </row>
    <row r="165" spans="1:10" x14ac:dyDescent="0.2">
      <c r="A165" s="676">
        <v>9</v>
      </c>
      <c r="B165" s="495"/>
      <c r="C165" s="809"/>
      <c r="D165" s="563"/>
      <c r="E165" s="1184"/>
      <c r="F165" s="1186"/>
      <c r="G165" s="809"/>
      <c r="H165" s="495"/>
      <c r="I165" s="495"/>
      <c r="J165" s="809"/>
    </row>
    <row r="166" spans="1:10" x14ac:dyDescent="0.2">
      <c r="A166" s="676">
        <v>10</v>
      </c>
      <c r="B166" s="495"/>
      <c r="C166" s="809"/>
      <c r="D166" s="563"/>
      <c r="E166" s="1184"/>
      <c r="F166" s="1186"/>
      <c r="G166" s="809"/>
      <c r="H166" s="495"/>
      <c r="I166" s="495"/>
      <c r="J166" s="809"/>
    </row>
    <row r="167" spans="1:10" x14ac:dyDescent="0.2">
      <c r="A167" s="676">
        <v>11</v>
      </c>
      <c r="B167" s="495"/>
      <c r="C167" s="809"/>
      <c r="D167" s="563"/>
      <c r="E167" s="1184"/>
      <c r="F167" s="1186"/>
      <c r="G167" s="809"/>
      <c r="H167" s="495"/>
      <c r="I167" s="495"/>
      <c r="J167" s="809"/>
    </row>
    <row r="168" spans="1:10" x14ac:dyDescent="0.2">
      <c r="A168" s="676">
        <v>12</v>
      </c>
      <c r="B168" s="495"/>
      <c r="C168" s="809"/>
      <c r="D168" s="563"/>
      <c r="E168" s="1184"/>
      <c r="F168" s="1186"/>
      <c r="G168" s="809"/>
      <c r="H168" s="495"/>
      <c r="I168" s="495"/>
      <c r="J168" s="809"/>
    </row>
    <row r="169" spans="1:10" x14ac:dyDescent="0.2">
      <c r="A169" s="676">
        <v>13</v>
      </c>
      <c r="B169" s="495"/>
      <c r="C169" s="809"/>
      <c r="D169" s="563"/>
      <c r="E169" s="1184"/>
      <c r="F169" s="1186"/>
      <c r="G169" s="809"/>
      <c r="H169" s="495"/>
      <c r="I169" s="495"/>
      <c r="J169" s="809"/>
    </row>
    <row r="170" spans="1:10" x14ac:dyDescent="0.2">
      <c r="A170" s="676">
        <v>14</v>
      </c>
      <c r="B170" s="495"/>
      <c r="C170" s="809"/>
      <c r="D170" s="563"/>
      <c r="E170" s="1184"/>
      <c r="F170" s="1186"/>
      <c r="G170" s="809"/>
      <c r="H170" s="495"/>
      <c r="I170" s="495"/>
      <c r="J170" s="809"/>
    </row>
    <row r="171" spans="1:10" x14ac:dyDescent="0.2">
      <c r="A171" s="676">
        <v>15</v>
      </c>
      <c r="B171" s="495"/>
      <c r="C171" s="809"/>
      <c r="D171" s="563"/>
      <c r="E171" s="1184"/>
      <c r="F171" s="1186"/>
      <c r="G171" s="809"/>
      <c r="H171" s="495"/>
      <c r="I171" s="495"/>
      <c r="J171" s="809"/>
    </row>
    <row r="172" spans="1:10" x14ac:dyDescent="0.2">
      <c r="A172" s="676">
        <v>16</v>
      </c>
      <c r="B172" s="495"/>
      <c r="C172" s="809"/>
      <c r="D172" s="563"/>
      <c r="E172" s="1184"/>
      <c r="F172" s="1186"/>
      <c r="G172" s="809"/>
      <c r="H172" s="495"/>
      <c r="I172" s="495"/>
      <c r="J172" s="809"/>
    </row>
    <row r="173" spans="1:10" x14ac:dyDescent="0.2">
      <c r="A173" s="676">
        <v>17</v>
      </c>
      <c r="B173" s="495"/>
      <c r="C173" s="809"/>
      <c r="D173" s="563"/>
      <c r="E173" s="1184"/>
      <c r="F173" s="1186"/>
      <c r="G173" s="809"/>
      <c r="H173" s="495"/>
      <c r="I173" s="495"/>
      <c r="J173" s="809"/>
    </row>
    <row r="174" spans="1:10" x14ac:dyDescent="0.2">
      <c r="A174" s="676">
        <v>18</v>
      </c>
      <c r="B174" s="495"/>
      <c r="C174" s="809"/>
      <c r="D174" s="563"/>
      <c r="E174" s="1184"/>
      <c r="F174" s="1186"/>
      <c r="G174" s="809"/>
      <c r="H174" s="495"/>
      <c r="I174" s="495"/>
      <c r="J174" s="809"/>
    </row>
    <row r="175" spans="1:10" x14ac:dyDescent="0.2">
      <c r="A175" s="676">
        <v>19</v>
      </c>
      <c r="B175" s="495"/>
      <c r="C175" s="809"/>
      <c r="D175" s="563"/>
      <c r="E175" s="1184"/>
      <c r="F175" s="1186"/>
      <c r="G175" s="809"/>
      <c r="H175" s="495"/>
      <c r="I175" s="495"/>
      <c r="J175" s="809"/>
    </row>
    <row r="176" spans="1:10" x14ac:dyDescent="0.2">
      <c r="A176" s="676">
        <v>20</v>
      </c>
      <c r="B176" s="495"/>
      <c r="C176" s="809"/>
      <c r="D176" s="563"/>
      <c r="E176" s="1184"/>
      <c r="F176" s="1186"/>
      <c r="G176" s="809"/>
      <c r="H176" s="495"/>
      <c r="I176" s="495"/>
      <c r="J176" s="809"/>
    </row>
    <row r="177" spans="1:10" ht="12.75" thickBot="1" x14ac:dyDescent="0.25">
      <c r="A177" s="86"/>
      <c r="B177" s="83"/>
      <c r="C177" s="33"/>
      <c r="D177" s="1041"/>
      <c r="E177" s="1187"/>
      <c r="F177" s="49"/>
      <c r="G177" s="33"/>
      <c r="H177" s="498"/>
      <c r="I177" s="498"/>
      <c r="J177" s="33"/>
    </row>
    <row r="178" spans="1:10" ht="12.75" thickBot="1" x14ac:dyDescent="0.25">
      <c r="A178" s="132" t="s">
        <v>0</v>
      </c>
      <c r="B178" s="57"/>
      <c r="C178" s="41"/>
      <c r="D178" s="130"/>
      <c r="E178" s="128"/>
      <c r="F178" s="128"/>
      <c r="G178" s="51"/>
      <c r="H178" s="44"/>
      <c r="I178" s="44"/>
      <c r="J178" s="51"/>
    </row>
    <row r="180" spans="1:10" ht="12.75" thickBot="1" x14ac:dyDescent="0.25"/>
    <row r="181" spans="1:10" x14ac:dyDescent="0.2">
      <c r="A181" s="1341" t="s">
        <v>431</v>
      </c>
      <c r="B181" s="1342"/>
      <c r="C181" s="1342"/>
      <c r="D181" s="1342"/>
      <c r="E181" s="1342"/>
      <c r="F181" s="1343"/>
      <c r="G181" s="1342"/>
      <c r="H181" s="1342"/>
      <c r="I181" s="1342"/>
      <c r="J181" s="1344"/>
    </row>
    <row r="182" spans="1:10" x14ac:dyDescent="0.2">
      <c r="A182" s="1038" t="s">
        <v>4261</v>
      </c>
      <c r="B182" s="490"/>
      <c r="C182" s="490"/>
      <c r="D182" s="490"/>
      <c r="E182" s="490"/>
      <c r="F182" s="700"/>
      <c r="G182" s="490"/>
      <c r="H182" s="490"/>
      <c r="I182" s="490"/>
      <c r="J182" s="496"/>
    </row>
    <row r="183" spans="1:10" ht="12.75" thickBot="1" x14ac:dyDescent="0.25">
      <c r="A183" s="1038" t="s">
        <v>4262</v>
      </c>
      <c r="B183" s="1345"/>
      <c r="C183" s="1345"/>
      <c r="D183" s="1345"/>
      <c r="E183" s="1345"/>
      <c r="F183" s="1346"/>
      <c r="G183" s="661"/>
      <c r="H183" s="1275"/>
      <c r="I183" s="1275"/>
      <c r="J183" s="1304"/>
    </row>
    <row r="184" spans="1:10" ht="12.75" thickBot="1" x14ac:dyDescent="0.25">
      <c r="A184" s="132" t="s">
        <v>87</v>
      </c>
      <c r="B184" s="84"/>
      <c r="C184" s="84"/>
      <c r="D184" s="131"/>
      <c r="E184" s="131"/>
      <c r="F184" s="1347"/>
      <c r="G184" s="131" t="s">
        <v>32</v>
      </c>
      <c r="H184" s="131" t="s">
        <v>88</v>
      </c>
      <c r="I184" s="129"/>
      <c r="J184" s="129"/>
    </row>
    <row r="185" spans="1:10" ht="36.75" thickBot="1" x14ac:dyDescent="0.25">
      <c r="A185" s="503" t="s">
        <v>94</v>
      </c>
      <c r="B185" s="506" t="s">
        <v>93</v>
      </c>
      <c r="C185" s="506" t="s">
        <v>210</v>
      </c>
      <c r="D185" s="261" t="s">
        <v>211</v>
      </c>
      <c r="E185" s="261" t="s">
        <v>2</v>
      </c>
      <c r="F185" s="261" t="s">
        <v>209</v>
      </c>
      <c r="G185" s="506" t="s">
        <v>96</v>
      </c>
      <c r="H185" s="261" t="s">
        <v>171</v>
      </c>
      <c r="I185" s="261" t="s">
        <v>176</v>
      </c>
      <c r="J185" s="261" t="s">
        <v>95</v>
      </c>
    </row>
    <row r="186" spans="1:10" ht="12.75" x14ac:dyDescent="0.2">
      <c r="A186" s="1348" t="s">
        <v>4285</v>
      </c>
      <c r="B186" s="1349"/>
      <c r="C186" s="1349"/>
      <c r="D186" s="495"/>
      <c r="E186" s="1350"/>
      <c r="F186" s="1351"/>
      <c r="G186" s="809"/>
      <c r="H186" s="1352"/>
      <c r="I186" s="495"/>
      <c r="J186" s="497"/>
    </row>
    <row r="187" spans="1:10" ht="12.75" x14ac:dyDescent="0.2">
      <c r="A187" s="1353" t="s">
        <v>4286</v>
      </c>
      <c r="B187" s="1354" t="s">
        <v>4287</v>
      </c>
      <c r="C187" s="1354" t="s">
        <v>4287</v>
      </c>
      <c r="D187" s="498">
        <v>1</v>
      </c>
      <c r="E187" s="1350">
        <v>246000</v>
      </c>
      <c r="F187" s="1355" t="s">
        <v>4288</v>
      </c>
      <c r="G187" s="33" t="s">
        <v>2891</v>
      </c>
      <c r="H187" s="1356">
        <v>43584</v>
      </c>
      <c r="I187" s="1357" t="s">
        <v>1635</v>
      </c>
      <c r="J187" s="50"/>
    </row>
    <row r="188" spans="1:10" ht="12.75" x14ac:dyDescent="0.2">
      <c r="A188" s="1353"/>
      <c r="B188" s="1354"/>
      <c r="C188" s="1354"/>
      <c r="D188" s="498"/>
      <c r="E188" s="1350">
        <v>148000</v>
      </c>
      <c r="F188" s="1355">
        <v>20515430769</v>
      </c>
      <c r="G188" s="33"/>
      <c r="H188" s="1356"/>
      <c r="I188" s="1357"/>
      <c r="J188" s="50"/>
    </row>
    <row r="189" spans="1:10" ht="12.75" x14ac:dyDescent="0.2">
      <c r="A189" s="1353"/>
      <c r="B189" s="1354"/>
      <c r="C189" s="1354"/>
      <c r="D189" s="498"/>
      <c r="E189" s="1350">
        <v>66640</v>
      </c>
      <c r="F189" s="1355" t="s">
        <v>4289</v>
      </c>
      <c r="G189" s="33" t="s">
        <v>2891</v>
      </c>
      <c r="H189" s="1356">
        <v>43588</v>
      </c>
      <c r="I189" s="1357" t="s">
        <v>1635</v>
      </c>
      <c r="J189" s="50"/>
    </row>
    <row r="190" spans="1:10" ht="12.75" x14ac:dyDescent="0.2">
      <c r="A190" s="1353"/>
      <c r="B190" s="1354"/>
      <c r="C190" s="1354"/>
      <c r="D190" s="498"/>
      <c r="E190" s="1350"/>
      <c r="F190" s="1355">
        <v>20100154308</v>
      </c>
      <c r="G190" s="33"/>
      <c r="H190" s="1356"/>
      <c r="I190" s="1357"/>
      <c r="J190" s="50"/>
    </row>
    <row r="191" spans="1:10" ht="12.75" x14ac:dyDescent="0.2">
      <c r="A191" s="1353"/>
      <c r="B191" s="1354"/>
      <c r="C191" s="1354"/>
      <c r="D191" s="498"/>
      <c r="E191" s="1350">
        <v>73500</v>
      </c>
      <c r="F191" s="1355" t="s">
        <v>4290</v>
      </c>
      <c r="G191" s="33" t="s">
        <v>2891</v>
      </c>
      <c r="H191" s="1356">
        <v>43595</v>
      </c>
      <c r="I191" s="1357" t="s">
        <v>1635</v>
      </c>
      <c r="J191" s="50"/>
    </row>
    <row r="192" spans="1:10" ht="12.75" x14ac:dyDescent="0.2">
      <c r="A192" s="1353"/>
      <c r="B192" s="1354"/>
      <c r="C192" s="1354"/>
      <c r="D192" s="498"/>
      <c r="E192" s="1350"/>
      <c r="F192" s="1355">
        <v>20524541662</v>
      </c>
      <c r="G192" s="33"/>
      <c r="H192" s="1356"/>
      <c r="I192" s="1357"/>
      <c r="J192" s="50"/>
    </row>
    <row r="193" spans="1:10" ht="12.75" x14ac:dyDescent="0.2">
      <c r="A193" s="1353"/>
      <c r="B193" s="1354"/>
      <c r="C193" s="1354"/>
      <c r="D193" s="498"/>
      <c r="E193" s="1350">
        <v>161945</v>
      </c>
      <c r="F193" s="1355" t="s">
        <v>4291</v>
      </c>
      <c r="G193" s="33" t="s">
        <v>2891</v>
      </c>
      <c r="H193" s="1356">
        <v>43595</v>
      </c>
      <c r="I193" s="1357" t="s">
        <v>1635</v>
      </c>
      <c r="J193" s="50"/>
    </row>
    <row r="194" spans="1:10" ht="12.75" x14ac:dyDescent="0.2">
      <c r="A194" s="1353"/>
      <c r="B194" s="1354"/>
      <c r="C194" s="1354"/>
      <c r="D194" s="498"/>
      <c r="E194" s="1350"/>
      <c r="F194" s="1355">
        <v>20221084684</v>
      </c>
      <c r="G194" s="33"/>
      <c r="H194" s="1356"/>
      <c r="I194" s="1357"/>
      <c r="J194" s="50"/>
    </row>
    <row r="195" spans="1:10" ht="12.75" x14ac:dyDescent="0.2">
      <c r="A195" s="1353"/>
      <c r="B195" s="1354"/>
      <c r="C195" s="1354"/>
      <c r="D195" s="498"/>
      <c r="E195" s="1350">
        <v>115000</v>
      </c>
      <c r="F195" s="1358" t="s">
        <v>4292</v>
      </c>
      <c r="G195" s="33" t="s">
        <v>2891</v>
      </c>
      <c r="H195" s="1356">
        <v>43599</v>
      </c>
      <c r="I195" s="1357" t="s">
        <v>1635</v>
      </c>
      <c r="J195" s="50"/>
    </row>
    <row r="196" spans="1:10" ht="12.75" x14ac:dyDescent="0.2">
      <c r="A196" s="1353"/>
      <c r="B196" s="1354"/>
      <c r="C196" s="1354"/>
      <c r="D196" s="498"/>
      <c r="E196" s="1350"/>
      <c r="F196" s="1355">
        <v>10071870303</v>
      </c>
      <c r="G196" s="33"/>
      <c r="H196" s="1356"/>
      <c r="I196" s="1357"/>
      <c r="J196" s="50"/>
    </row>
    <row r="197" spans="1:10" ht="12.75" x14ac:dyDescent="0.2">
      <c r="A197" s="1353"/>
      <c r="B197" s="1354"/>
      <c r="C197" s="1354"/>
      <c r="D197" s="498"/>
      <c r="E197" s="1350">
        <v>191000</v>
      </c>
      <c r="F197" s="1355" t="s">
        <v>4293</v>
      </c>
      <c r="G197" s="33" t="s">
        <v>2891</v>
      </c>
      <c r="H197" s="1356"/>
      <c r="I197" s="1357" t="s">
        <v>1635</v>
      </c>
      <c r="J197" s="50"/>
    </row>
    <row r="198" spans="1:10" ht="12.75" x14ac:dyDescent="0.2">
      <c r="A198" s="1353"/>
      <c r="B198" s="1354"/>
      <c r="C198" s="1354"/>
      <c r="D198" s="498"/>
      <c r="E198" s="1350"/>
      <c r="F198" s="1355"/>
      <c r="G198" s="33"/>
      <c r="H198" s="1356"/>
      <c r="I198" s="1357"/>
      <c r="J198" s="50"/>
    </row>
    <row r="199" spans="1:10" ht="12.75" x14ac:dyDescent="0.2">
      <c r="A199" s="1353" t="s">
        <v>4294</v>
      </c>
      <c r="B199" s="1354" t="s">
        <v>2285</v>
      </c>
      <c r="C199" s="1354" t="s">
        <v>2285</v>
      </c>
      <c r="D199" s="498">
        <v>1</v>
      </c>
      <c r="E199" s="1350">
        <v>41100</v>
      </c>
      <c r="F199" s="1358" t="s">
        <v>4295</v>
      </c>
      <c r="G199" s="33" t="s">
        <v>2891</v>
      </c>
      <c r="H199" s="1356">
        <v>43558</v>
      </c>
      <c r="I199" s="1357">
        <v>43562</v>
      </c>
      <c r="J199" s="50"/>
    </row>
    <row r="200" spans="1:10" ht="12.75" x14ac:dyDescent="0.2">
      <c r="A200" s="1353"/>
      <c r="B200" s="1354"/>
      <c r="C200" s="1354"/>
      <c r="D200" s="498"/>
      <c r="E200" s="1350"/>
      <c r="F200" s="1359">
        <v>20553453501</v>
      </c>
      <c r="G200" s="33"/>
      <c r="H200" s="39"/>
      <c r="I200" s="1357"/>
      <c r="J200" s="50"/>
    </row>
    <row r="201" spans="1:10" ht="12.75" x14ac:dyDescent="0.2">
      <c r="A201" s="1353"/>
      <c r="B201" s="1354"/>
      <c r="C201" s="1354"/>
      <c r="D201" s="498"/>
      <c r="E201" s="1350">
        <v>105846</v>
      </c>
      <c r="F201" s="1355" t="s">
        <v>4296</v>
      </c>
      <c r="G201" s="33" t="s">
        <v>2891</v>
      </c>
      <c r="H201" s="1356">
        <v>43558</v>
      </c>
      <c r="I201" s="1357">
        <v>43562</v>
      </c>
      <c r="J201" s="50"/>
    </row>
    <row r="202" spans="1:10" ht="12.75" x14ac:dyDescent="0.2">
      <c r="A202" s="1353"/>
      <c r="B202" s="1354"/>
      <c r="C202" s="1354"/>
      <c r="D202" s="498"/>
      <c r="E202" s="1350"/>
      <c r="F202" s="1360">
        <v>20517604179</v>
      </c>
      <c r="G202" s="33"/>
      <c r="H202" s="39"/>
      <c r="I202" s="498"/>
      <c r="J202" s="50"/>
    </row>
    <row r="203" spans="1:10" ht="12.75" x14ac:dyDescent="0.2">
      <c r="A203" s="1353"/>
      <c r="B203" s="1354"/>
      <c r="C203" s="1354"/>
      <c r="D203" s="498"/>
      <c r="E203" s="1350">
        <v>105220</v>
      </c>
      <c r="F203" s="1358" t="s">
        <v>4297</v>
      </c>
      <c r="G203" s="33" t="s">
        <v>2891</v>
      </c>
      <c r="H203" s="1356">
        <v>43558</v>
      </c>
      <c r="I203" s="1357">
        <v>43562</v>
      </c>
      <c r="J203" s="50"/>
    </row>
    <row r="204" spans="1:10" ht="12.75" x14ac:dyDescent="0.2">
      <c r="A204" s="1353"/>
      <c r="B204" s="1354"/>
      <c r="C204" s="1354"/>
      <c r="D204" s="498"/>
      <c r="E204" s="1350"/>
      <c r="F204" s="1355"/>
      <c r="G204" s="33"/>
      <c r="H204" s="1356"/>
      <c r="I204" s="1357"/>
      <c r="J204" s="50"/>
    </row>
    <row r="205" spans="1:10" ht="12.75" x14ac:dyDescent="0.2">
      <c r="A205" s="1353" t="s">
        <v>4298</v>
      </c>
      <c r="B205" s="1354" t="s">
        <v>2285</v>
      </c>
      <c r="C205" s="1354" t="s">
        <v>2285</v>
      </c>
      <c r="D205" s="498">
        <v>2</v>
      </c>
      <c r="E205" s="1350">
        <v>72540</v>
      </c>
      <c r="F205" s="1355" t="s">
        <v>4299</v>
      </c>
      <c r="G205" s="33" t="s">
        <v>2891</v>
      </c>
      <c r="H205" s="1356">
        <v>43551</v>
      </c>
      <c r="I205" s="1357">
        <v>43555</v>
      </c>
      <c r="J205" s="50"/>
    </row>
    <row r="206" spans="1:10" ht="12.75" x14ac:dyDescent="0.2">
      <c r="A206" s="1353"/>
      <c r="B206" s="1354"/>
      <c r="C206" s="1354"/>
      <c r="D206" s="498"/>
      <c r="E206" s="1350"/>
      <c r="F206" s="1355">
        <v>20448822304</v>
      </c>
      <c r="G206" s="33"/>
      <c r="H206" s="1356"/>
      <c r="I206" s="1357"/>
      <c r="J206" s="50"/>
    </row>
    <row r="207" spans="1:10" ht="12.75" x14ac:dyDescent="0.2">
      <c r="A207" s="1353" t="s">
        <v>4300</v>
      </c>
      <c r="B207" s="1354" t="s">
        <v>2285</v>
      </c>
      <c r="C207" s="1354" t="s">
        <v>2285</v>
      </c>
      <c r="D207" s="498">
        <v>3</v>
      </c>
      <c r="E207" s="1350">
        <v>41446</v>
      </c>
      <c r="F207" s="1358" t="s">
        <v>4301</v>
      </c>
      <c r="G207" s="33" t="s">
        <v>2891</v>
      </c>
      <c r="H207" s="1356">
        <v>43549</v>
      </c>
      <c r="I207" s="1357">
        <v>43553</v>
      </c>
      <c r="J207" s="50"/>
    </row>
    <row r="208" spans="1:10" ht="12.75" x14ac:dyDescent="0.2">
      <c r="A208" s="1353"/>
      <c r="B208" s="1354"/>
      <c r="C208" s="1354"/>
      <c r="D208" s="498"/>
      <c r="E208" s="1350"/>
      <c r="F208" s="1359">
        <v>20131529181</v>
      </c>
      <c r="G208" s="33"/>
      <c r="H208" s="1356"/>
      <c r="I208" s="498"/>
      <c r="J208" s="50"/>
    </row>
    <row r="209" spans="1:10" ht="12.75" x14ac:dyDescent="0.2">
      <c r="A209" s="1353"/>
      <c r="B209" s="1354"/>
      <c r="C209" s="1354"/>
      <c r="D209" s="498"/>
      <c r="E209" s="1350">
        <v>144144</v>
      </c>
      <c r="F209" s="1358" t="s">
        <v>4302</v>
      </c>
      <c r="G209" s="33" t="s">
        <v>2891</v>
      </c>
      <c r="H209" s="1356">
        <v>43539</v>
      </c>
      <c r="I209" s="1357">
        <v>43543</v>
      </c>
      <c r="J209" s="50"/>
    </row>
    <row r="210" spans="1:10" ht="12.75" x14ac:dyDescent="0.2">
      <c r="A210" s="1353"/>
      <c r="B210" s="1354"/>
      <c r="C210" s="1354"/>
      <c r="D210" s="498"/>
      <c r="E210" s="1350"/>
      <c r="F210" s="1360">
        <v>20517604179</v>
      </c>
      <c r="G210" s="33"/>
      <c r="H210" s="1356"/>
      <c r="I210" s="498"/>
      <c r="J210" s="50"/>
    </row>
    <row r="211" spans="1:10" ht="12.75" x14ac:dyDescent="0.2">
      <c r="A211" s="1353" t="s">
        <v>4303</v>
      </c>
      <c r="B211" s="1354" t="s">
        <v>2285</v>
      </c>
      <c r="C211" s="1354" t="s">
        <v>2285</v>
      </c>
      <c r="D211" s="498">
        <v>4</v>
      </c>
      <c r="E211" s="1350">
        <v>40800</v>
      </c>
      <c r="F211" s="1355" t="s">
        <v>4304</v>
      </c>
      <c r="G211" s="33" t="s">
        <v>2891</v>
      </c>
      <c r="H211" s="1356">
        <v>43691</v>
      </c>
      <c r="I211" s="1357">
        <v>43692</v>
      </c>
      <c r="J211" s="50"/>
    </row>
    <row r="212" spans="1:10" ht="12.75" x14ac:dyDescent="0.2">
      <c r="A212" s="1353"/>
      <c r="B212" s="1354"/>
      <c r="C212" s="1354"/>
      <c r="D212" s="498"/>
      <c r="E212" s="1350"/>
      <c r="F212" s="1360">
        <v>20167343652</v>
      </c>
      <c r="G212" s="33"/>
      <c r="H212" s="1356"/>
      <c r="I212" s="498"/>
      <c r="J212" s="50"/>
    </row>
    <row r="213" spans="1:10" ht="12.75" x14ac:dyDescent="0.2">
      <c r="A213" s="1353"/>
      <c r="B213" s="1354"/>
      <c r="C213" s="1354"/>
      <c r="D213" s="498"/>
      <c r="E213" s="1350">
        <v>141600</v>
      </c>
      <c r="F213" s="1355" t="s">
        <v>4305</v>
      </c>
      <c r="G213" s="33" t="s">
        <v>2891</v>
      </c>
      <c r="H213" s="1356">
        <v>43558</v>
      </c>
      <c r="I213" s="1357">
        <v>43562</v>
      </c>
      <c r="J213" s="50"/>
    </row>
    <row r="214" spans="1:10" ht="12.75" x14ac:dyDescent="0.2">
      <c r="A214" s="1353"/>
      <c r="B214" s="1354"/>
      <c r="C214" s="1354"/>
      <c r="D214" s="498"/>
      <c r="E214" s="1350"/>
      <c r="F214" s="1360">
        <v>20329985777</v>
      </c>
      <c r="G214" s="33"/>
      <c r="H214" s="39"/>
      <c r="I214" s="498"/>
      <c r="J214" s="50"/>
    </row>
    <row r="215" spans="1:10" ht="12.75" x14ac:dyDescent="0.2">
      <c r="A215" s="1353"/>
      <c r="B215" s="1354"/>
      <c r="C215" s="1354"/>
      <c r="D215" s="498"/>
      <c r="E215" s="1350">
        <v>24131</v>
      </c>
      <c r="F215" s="1355" t="s">
        <v>4306</v>
      </c>
      <c r="G215" s="33" t="s">
        <v>2891</v>
      </c>
      <c r="H215" s="1356">
        <v>43531</v>
      </c>
      <c r="I215" s="1357">
        <v>43535</v>
      </c>
      <c r="J215" s="50"/>
    </row>
    <row r="216" spans="1:10" ht="12.75" x14ac:dyDescent="0.2">
      <c r="A216" s="1353"/>
      <c r="B216" s="1354"/>
      <c r="C216" s="1354"/>
      <c r="D216" s="498"/>
      <c r="E216" s="1350"/>
      <c r="F216" s="1359">
        <v>20509990841</v>
      </c>
      <c r="G216" s="33"/>
      <c r="H216" s="39"/>
      <c r="I216" s="498"/>
      <c r="J216" s="50"/>
    </row>
    <row r="217" spans="1:10" ht="12.75" x14ac:dyDescent="0.2">
      <c r="A217" s="1353" t="s">
        <v>4307</v>
      </c>
      <c r="B217" s="1354" t="s">
        <v>2285</v>
      </c>
      <c r="C217" s="1354" t="s">
        <v>2285</v>
      </c>
      <c r="D217" s="498">
        <v>5</v>
      </c>
      <c r="E217" s="1350">
        <v>125160</v>
      </c>
      <c r="F217" s="1355" t="s">
        <v>4308</v>
      </c>
      <c r="G217" s="33" t="s">
        <v>2891</v>
      </c>
      <c r="H217" s="1356">
        <v>43540</v>
      </c>
      <c r="I217" s="1357">
        <v>43544</v>
      </c>
      <c r="J217" s="50"/>
    </row>
    <row r="218" spans="1:10" ht="12.75" x14ac:dyDescent="0.2">
      <c r="A218" s="1353"/>
      <c r="B218" s="1354"/>
      <c r="C218" s="1354"/>
      <c r="D218" s="498"/>
      <c r="E218" s="1350"/>
      <c r="F218" s="1355">
        <v>20507876219</v>
      </c>
      <c r="G218" s="33"/>
      <c r="H218" s="39"/>
      <c r="I218" s="498"/>
      <c r="J218" s="50"/>
    </row>
    <row r="219" spans="1:10" ht="12.75" x14ac:dyDescent="0.2">
      <c r="A219" s="1353" t="s">
        <v>4309</v>
      </c>
      <c r="B219" s="1354" t="s">
        <v>2285</v>
      </c>
      <c r="C219" s="1354" t="s">
        <v>2285</v>
      </c>
      <c r="D219" s="498">
        <v>6</v>
      </c>
      <c r="E219" s="1350">
        <v>46020</v>
      </c>
      <c r="F219" s="1360" t="s">
        <v>4310</v>
      </c>
      <c r="G219" s="33" t="s">
        <v>2891</v>
      </c>
      <c r="H219" s="1356">
        <v>43545</v>
      </c>
      <c r="I219" s="1357">
        <v>43549</v>
      </c>
      <c r="J219" s="50"/>
    </row>
    <row r="220" spans="1:10" ht="12.75" x14ac:dyDescent="0.2">
      <c r="A220" s="1353"/>
      <c r="B220" s="1354"/>
      <c r="C220" s="1354"/>
      <c r="D220" s="498"/>
      <c r="E220" s="1350"/>
      <c r="F220" s="1355">
        <v>20499358114</v>
      </c>
      <c r="G220" s="33"/>
      <c r="H220" s="39"/>
      <c r="I220" s="498"/>
      <c r="J220" s="50"/>
    </row>
    <row r="221" spans="1:10" ht="12.75" x14ac:dyDescent="0.2">
      <c r="A221" s="1353"/>
      <c r="B221" s="1354"/>
      <c r="C221" s="1354"/>
      <c r="D221" s="498"/>
      <c r="E221" s="1350">
        <v>105638</v>
      </c>
      <c r="F221" s="1355" t="s">
        <v>4311</v>
      </c>
      <c r="G221" s="33" t="s">
        <v>2891</v>
      </c>
      <c r="H221" s="1356">
        <v>43557</v>
      </c>
      <c r="I221" s="1357">
        <v>43562</v>
      </c>
      <c r="J221" s="50"/>
    </row>
    <row r="222" spans="1:10" ht="12.75" x14ac:dyDescent="0.2">
      <c r="A222" s="1353"/>
      <c r="B222" s="1354"/>
      <c r="C222" s="1354"/>
      <c r="D222" s="498"/>
      <c r="E222" s="1350"/>
      <c r="F222" s="1359">
        <v>20601433860</v>
      </c>
      <c r="G222" s="33"/>
      <c r="H222" s="1356"/>
      <c r="I222" s="498"/>
      <c r="J222" s="50"/>
    </row>
    <row r="223" spans="1:10" ht="24" x14ac:dyDescent="0.2">
      <c r="A223" s="1353" t="s">
        <v>4312</v>
      </c>
      <c r="B223" s="1354" t="s">
        <v>2285</v>
      </c>
      <c r="C223" s="1354" t="s">
        <v>2285</v>
      </c>
      <c r="D223" s="498">
        <v>7</v>
      </c>
      <c r="E223" s="1350">
        <v>44250</v>
      </c>
      <c r="F223" s="1358" t="s">
        <v>4302</v>
      </c>
      <c r="G223" s="33" t="s">
        <v>2891</v>
      </c>
      <c r="H223" s="1356">
        <v>43566</v>
      </c>
      <c r="I223" s="1357">
        <v>43570</v>
      </c>
      <c r="J223" s="50"/>
    </row>
    <row r="224" spans="1:10" ht="12.75" x14ac:dyDescent="0.2">
      <c r="A224" s="1353"/>
      <c r="B224" s="1354"/>
      <c r="C224" s="1354"/>
      <c r="D224" s="498"/>
      <c r="E224" s="1350"/>
      <c r="F224" s="1360">
        <v>20517604179</v>
      </c>
      <c r="G224" s="33"/>
      <c r="H224" s="39"/>
      <c r="I224" s="498"/>
      <c r="J224" s="50"/>
    </row>
    <row r="225" spans="1:10" ht="12.75" x14ac:dyDescent="0.2">
      <c r="A225" s="1353"/>
      <c r="B225" s="1354"/>
      <c r="C225" s="1354"/>
      <c r="D225" s="498"/>
      <c r="E225" s="1350">
        <v>238018</v>
      </c>
      <c r="F225" s="1355" t="s">
        <v>4313</v>
      </c>
      <c r="G225" s="33" t="s">
        <v>2891</v>
      </c>
      <c r="H225" s="1356">
        <v>43201</v>
      </c>
      <c r="I225" s="1357">
        <v>43570</v>
      </c>
      <c r="J225" s="50"/>
    </row>
    <row r="226" spans="1:10" ht="12.75" x14ac:dyDescent="0.2">
      <c r="A226" s="1353"/>
      <c r="B226" s="1354"/>
      <c r="C226" s="1354"/>
      <c r="D226" s="498"/>
      <c r="E226" s="1350"/>
      <c r="F226" s="1360">
        <v>20508240393</v>
      </c>
      <c r="G226" s="33"/>
      <c r="H226" s="1356"/>
      <c r="I226" s="1357"/>
      <c r="J226" s="50"/>
    </row>
    <row r="227" spans="1:10" ht="12.75" x14ac:dyDescent="0.2">
      <c r="A227" s="1353"/>
      <c r="B227" s="1354"/>
      <c r="C227" s="1354"/>
      <c r="D227" s="498"/>
      <c r="E227" s="1350">
        <v>71400</v>
      </c>
      <c r="F227" s="1355" t="s">
        <v>4305</v>
      </c>
      <c r="G227" s="33" t="s">
        <v>2891</v>
      </c>
      <c r="H227" s="1356">
        <v>43187</v>
      </c>
      <c r="I227" s="1357">
        <v>43565</v>
      </c>
      <c r="J227" s="50"/>
    </row>
    <row r="228" spans="1:10" ht="12.75" x14ac:dyDescent="0.2">
      <c r="A228" s="1353"/>
      <c r="B228" s="1354"/>
      <c r="C228" s="1354"/>
      <c r="D228" s="498"/>
      <c r="E228" s="1350"/>
      <c r="F228" s="1360">
        <v>20329985777</v>
      </c>
      <c r="G228" s="33"/>
      <c r="H228" s="1356"/>
      <c r="I228" s="498"/>
      <c r="J228" s="50"/>
    </row>
    <row r="229" spans="1:10" ht="24" x14ac:dyDescent="0.2">
      <c r="A229" s="1353" t="s">
        <v>4314</v>
      </c>
      <c r="B229" s="1354" t="s">
        <v>2285</v>
      </c>
      <c r="C229" s="1354" t="s">
        <v>2285</v>
      </c>
      <c r="D229" s="498">
        <v>8</v>
      </c>
      <c r="E229" s="1350">
        <v>109839.78</v>
      </c>
      <c r="F229" s="1355" t="s">
        <v>4315</v>
      </c>
      <c r="G229" s="33" t="s">
        <v>2891</v>
      </c>
      <c r="H229" s="1356">
        <v>43213</v>
      </c>
      <c r="I229" s="1357">
        <v>43582</v>
      </c>
      <c r="J229" s="50"/>
    </row>
    <row r="230" spans="1:10" ht="12.75" x14ac:dyDescent="0.2">
      <c r="A230" s="1353"/>
      <c r="B230" s="1354"/>
      <c r="C230" s="1354"/>
      <c r="D230" s="498"/>
      <c r="E230" s="1350"/>
      <c r="F230" s="1355">
        <v>20332970411</v>
      </c>
      <c r="G230" s="33"/>
      <c r="H230" s="1356"/>
      <c r="I230" s="498"/>
      <c r="J230" s="50"/>
    </row>
    <row r="231" spans="1:10" ht="12.75" x14ac:dyDescent="0.2">
      <c r="A231" s="1353" t="s">
        <v>4316</v>
      </c>
      <c r="B231" s="1354" t="s">
        <v>2285</v>
      </c>
      <c r="C231" s="1354" t="s">
        <v>2285</v>
      </c>
      <c r="D231" s="498">
        <v>9</v>
      </c>
      <c r="E231" s="1350">
        <v>31457</v>
      </c>
      <c r="F231" s="1355" t="s">
        <v>4317</v>
      </c>
      <c r="G231" s="33" t="s">
        <v>2891</v>
      </c>
      <c r="H231" s="1356">
        <v>43215</v>
      </c>
      <c r="I231" s="1357">
        <v>43584</v>
      </c>
      <c r="J231" s="50"/>
    </row>
    <row r="232" spans="1:10" ht="12.75" x14ac:dyDescent="0.2">
      <c r="A232" s="1353"/>
      <c r="B232" s="1354"/>
      <c r="C232" s="1354"/>
      <c r="D232" s="498"/>
      <c r="E232" s="1350"/>
      <c r="F232" s="1361">
        <v>10090684961</v>
      </c>
      <c r="G232" s="33"/>
      <c r="H232" s="39"/>
      <c r="I232" s="498"/>
      <c r="J232" s="50"/>
    </row>
    <row r="233" spans="1:10" ht="12.75" x14ac:dyDescent="0.2">
      <c r="A233" s="1353" t="s">
        <v>4318</v>
      </c>
      <c r="B233" s="1354" t="s">
        <v>2285</v>
      </c>
      <c r="C233" s="1354" t="s">
        <v>2285</v>
      </c>
      <c r="D233" s="498">
        <v>10</v>
      </c>
      <c r="E233" s="1350">
        <v>48048</v>
      </c>
      <c r="F233" s="1358" t="s">
        <v>4302</v>
      </c>
      <c r="G233" s="33" t="s">
        <v>2891</v>
      </c>
      <c r="H233" s="1356">
        <v>43215</v>
      </c>
      <c r="I233" s="1357">
        <v>43584</v>
      </c>
      <c r="J233" s="50"/>
    </row>
    <row r="234" spans="1:10" ht="12.75" x14ac:dyDescent="0.2">
      <c r="A234" s="1353"/>
      <c r="B234" s="1354"/>
      <c r="C234" s="1354"/>
      <c r="D234" s="498"/>
      <c r="E234" s="1350"/>
      <c r="F234" s="1360">
        <v>20517604179</v>
      </c>
      <c r="G234" s="33"/>
      <c r="H234" s="39"/>
      <c r="I234" s="498"/>
      <c r="J234" s="50"/>
    </row>
    <row r="235" spans="1:10" ht="24" x14ac:dyDescent="0.2">
      <c r="A235" s="1353" t="s">
        <v>4319</v>
      </c>
      <c r="B235" s="1354" t="s">
        <v>2285</v>
      </c>
      <c r="C235" s="1354" t="s">
        <v>2285</v>
      </c>
      <c r="D235" s="498">
        <v>11</v>
      </c>
      <c r="E235" s="1350">
        <v>165360</v>
      </c>
      <c r="F235" s="1360" t="s">
        <v>4310</v>
      </c>
      <c r="G235" s="33" t="s">
        <v>2891</v>
      </c>
      <c r="H235" s="1356">
        <v>43215</v>
      </c>
      <c r="I235" s="1357">
        <v>43593</v>
      </c>
      <c r="J235" s="50"/>
    </row>
    <row r="236" spans="1:10" ht="12.75" x14ac:dyDescent="0.2">
      <c r="A236" s="1353"/>
      <c r="B236" s="1354"/>
      <c r="C236" s="1354"/>
      <c r="D236" s="498"/>
      <c r="E236" s="1350"/>
      <c r="F236" s="1355">
        <v>20499358114</v>
      </c>
      <c r="G236" s="33"/>
      <c r="H236" s="1356"/>
      <c r="I236" s="1357"/>
      <c r="J236" s="50"/>
    </row>
    <row r="237" spans="1:10" ht="12.75" x14ac:dyDescent="0.2">
      <c r="A237" s="1353"/>
      <c r="B237" s="1354"/>
      <c r="C237" s="1354"/>
      <c r="D237" s="498"/>
      <c r="E237" s="1350">
        <v>111265</v>
      </c>
      <c r="F237" s="1355" t="s">
        <v>4320</v>
      </c>
      <c r="G237" s="33" t="s">
        <v>2891</v>
      </c>
      <c r="H237" s="1356">
        <v>43215</v>
      </c>
      <c r="I237" s="1357">
        <v>43593</v>
      </c>
      <c r="J237" s="50"/>
    </row>
    <row r="238" spans="1:10" ht="12.75" x14ac:dyDescent="0.2">
      <c r="A238" s="1353"/>
      <c r="B238" s="1354"/>
      <c r="C238" s="1354"/>
      <c r="D238" s="498"/>
      <c r="E238" s="1350"/>
      <c r="F238" s="1355">
        <v>10423852521</v>
      </c>
      <c r="G238" s="33"/>
      <c r="H238" s="1356"/>
      <c r="I238" s="1357"/>
      <c r="J238" s="50"/>
    </row>
    <row r="239" spans="1:10" ht="12.75" x14ac:dyDescent="0.2">
      <c r="A239" s="1353" t="s">
        <v>4321</v>
      </c>
      <c r="B239" s="1354" t="s">
        <v>2285</v>
      </c>
      <c r="C239" s="1354" t="s">
        <v>2285</v>
      </c>
      <c r="D239" s="498">
        <v>12</v>
      </c>
      <c r="E239" s="1350">
        <v>134107</v>
      </c>
      <c r="F239" s="1358" t="s">
        <v>4292</v>
      </c>
      <c r="G239" s="33" t="s">
        <v>2891</v>
      </c>
      <c r="H239" s="1356">
        <v>43213</v>
      </c>
      <c r="I239" s="1357">
        <v>43585</v>
      </c>
      <c r="J239" s="50"/>
    </row>
    <row r="240" spans="1:10" ht="12.75" x14ac:dyDescent="0.2">
      <c r="A240" s="1353"/>
      <c r="B240" s="1354"/>
      <c r="C240" s="1354"/>
      <c r="D240" s="498"/>
      <c r="E240" s="1350"/>
      <c r="F240" s="1355">
        <v>10071870303</v>
      </c>
      <c r="G240" s="33"/>
      <c r="H240" s="39"/>
      <c r="I240" s="498"/>
      <c r="J240" s="50"/>
    </row>
    <row r="241" spans="1:10" ht="12.75" x14ac:dyDescent="0.2">
      <c r="A241" s="1353" t="s">
        <v>4322</v>
      </c>
      <c r="B241" s="1354" t="s">
        <v>2285</v>
      </c>
      <c r="C241" s="1354" t="s">
        <v>2285</v>
      </c>
      <c r="D241" s="498">
        <v>13</v>
      </c>
      <c r="E241" s="1350">
        <v>69000</v>
      </c>
      <c r="F241" s="1358" t="s">
        <v>4292</v>
      </c>
      <c r="G241" s="33" t="s">
        <v>2891</v>
      </c>
      <c r="H241" s="1356">
        <v>43589</v>
      </c>
      <c r="I241" s="1357">
        <v>43589</v>
      </c>
      <c r="J241" s="50"/>
    </row>
    <row r="242" spans="1:10" ht="13.5" thickBot="1" x14ac:dyDescent="0.25">
      <c r="A242" s="1362"/>
      <c r="B242" s="1349"/>
      <c r="C242" s="1349"/>
      <c r="D242" s="495"/>
      <c r="E242" s="1363"/>
      <c r="F242" s="1364">
        <v>10071870303</v>
      </c>
      <c r="G242" s="809"/>
      <c r="H242" s="1352"/>
      <c r="I242" s="1185"/>
      <c r="J242" s="50"/>
    </row>
    <row r="243" spans="1:10" ht="13.5" thickBot="1" x14ac:dyDescent="0.25">
      <c r="A243" s="1365" t="s">
        <v>0</v>
      </c>
      <c r="B243" s="1366"/>
      <c r="C243" s="1366"/>
      <c r="D243" s="1367"/>
      <c r="E243" s="1368">
        <f>SUM(E187:E242)</f>
        <v>3018474.78</v>
      </c>
      <c r="F243" s="1369"/>
      <c r="G243" s="1365"/>
      <c r="H243" s="1370"/>
      <c r="I243" s="1371"/>
      <c r="J243" s="1372"/>
    </row>
    <row r="244" spans="1:10" ht="12.75" x14ac:dyDescent="0.2">
      <c r="A244" s="1373" t="s">
        <v>4323</v>
      </c>
      <c r="B244" s="1349"/>
      <c r="C244" s="1349"/>
      <c r="D244" s="495"/>
      <c r="E244" s="1350"/>
      <c r="F244" s="1364"/>
      <c r="G244" s="809"/>
      <c r="H244" s="496"/>
      <c r="I244" s="495"/>
      <c r="J244" s="50"/>
    </row>
    <row r="245" spans="1:10" ht="12.75" x14ac:dyDescent="0.2">
      <c r="A245" s="1353" t="s">
        <v>4286</v>
      </c>
      <c r="B245" s="1354" t="s">
        <v>4287</v>
      </c>
      <c r="C245" s="1354" t="s">
        <v>4287</v>
      </c>
      <c r="D245" s="498">
        <v>1</v>
      </c>
      <c r="E245" s="1350">
        <v>1528000</v>
      </c>
      <c r="F245" s="1355"/>
      <c r="G245" s="33" t="s">
        <v>4324</v>
      </c>
      <c r="H245" s="1356"/>
      <c r="I245" s="1357"/>
      <c r="J245" s="50" t="s">
        <v>4325</v>
      </c>
    </row>
    <row r="246" spans="1:10" ht="12.75" x14ac:dyDescent="0.2">
      <c r="A246" s="1353" t="s">
        <v>4294</v>
      </c>
      <c r="B246" s="1354" t="s">
        <v>2285</v>
      </c>
      <c r="C246" s="1354" t="s">
        <v>2285</v>
      </c>
      <c r="D246" s="498">
        <v>1</v>
      </c>
      <c r="E246" s="1350">
        <v>47300</v>
      </c>
      <c r="F246" s="1358" t="s">
        <v>4295</v>
      </c>
      <c r="G246" s="33" t="s">
        <v>2891</v>
      </c>
      <c r="H246" s="1356">
        <v>43902</v>
      </c>
      <c r="I246" s="1357">
        <v>43906</v>
      </c>
      <c r="J246" s="50"/>
    </row>
    <row r="247" spans="1:10" ht="12.75" x14ac:dyDescent="0.2">
      <c r="A247" s="1353"/>
      <c r="B247" s="1354"/>
      <c r="C247" s="1354"/>
      <c r="D247" s="498"/>
      <c r="E247" s="1350"/>
      <c r="F247" s="1359">
        <v>20553453501</v>
      </c>
      <c r="G247" s="33"/>
      <c r="H247" s="39"/>
      <c r="I247" s="1357"/>
      <c r="J247" s="50"/>
    </row>
    <row r="248" spans="1:10" ht="12.75" x14ac:dyDescent="0.2">
      <c r="A248" s="1353"/>
      <c r="B248" s="1354"/>
      <c r="C248" s="1354"/>
      <c r="D248" s="498"/>
      <c r="E248" s="1350">
        <v>73530</v>
      </c>
      <c r="F248" s="1358" t="s">
        <v>4326</v>
      </c>
      <c r="G248" s="33" t="s">
        <v>2891</v>
      </c>
      <c r="H248" s="1356">
        <v>43902</v>
      </c>
      <c r="I248" s="1357">
        <v>43906</v>
      </c>
      <c r="J248" s="50"/>
    </row>
    <row r="249" spans="1:10" ht="12.75" x14ac:dyDescent="0.2">
      <c r="A249" s="1353"/>
      <c r="B249" s="1354"/>
      <c r="C249" s="1354"/>
      <c r="D249" s="498"/>
      <c r="E249" s="1350"/>
      <c r="F249" s="1359">
        <v>20101709231</v>
      </c>
      <c r="G249" s="33"/>
      <c r="H249" s="39"/>
      <c r="I249" s="498"/>
      <c r="J249" s="50"/>
    </row>
    <row r="250" spans="1:10" ht="12.75" x14ac:dyDescent="0.2">
      <c r="A250" s="1353"/>
      <c r="B250" s="1354"/>
      <c r="C250" s="1354"/>
      <c r="D250" s="498"/>
      <c r="E250" s="1350">
        <v>90945</v>
      </c>
      <c r="F250" s="1358" t="s">
        <v>4327</v>
      </c>
      <c r="G250" s="33" t="s">
        <v>2891</v>
      </c>
      <c r="H250" s="1356">
        <v>43902</v>
      </c>
      <c r="I250" s="1357">
        <v>43906</v>
      </c>
      <c r="J250" s="50"/>
    </row>
    <row r="251" spans="1:10" ht="12.75" x14ac:dyDescent="0.2">
      <c r="A251" s="1353"/>
      <c r="B251" s="1354"/>
      <c r="C251" s="1354"/>
      <c r="D251" s="498"/>
      <c r="E251" s="1350"/>
      <c r="F251" s="1359">
        <v>20554006443</v>
      </c>
      <c r="G251" s="33"/>
      <c r="H251" s="1356"/>
      <c r="I251" s="1357"/>
      <c r="J251" s="50"/>
    </row>
    <row r="252" spans="1:10" ht="12.75" x14ac:dyDescent="0.2">
      <c r="A252" s="1353" t="s">
        <v>4298</v>
      </c>
      <c r="B252" s="1354" t="s">
        <v>4328</v>
      </c>
      <c r="C252" s="1354" t="s">
        <v>4328</v>
      </c>
      <c r="D252" s="498">
        <v>1</v>
      </c>
      <c r="E252" s="1350">
        <v>74799.73</v>
      </c>
      <c r="F252" s="1355" t="s">
        <v>4329</v>
      </c>
      <c r="G252" s="33" t="s">
        <v>2891</v>
      </c>
      <c r="H252" s="1356">
        <v>43898</v>
      </c>
      <c r="I252" s="1357">
        <v>43901</v>
      </c>
      <c r="J252" s="50"/>
    </row>
    <row r="253" spans="1:10" ht="12.75" x14ac:dyDescent="0.2">
      <c r="A253" s="1353"/>
      <c r="B253" s="1354"/>
      <c r="C253" s="1354"/>
      <c r="D253" s="498"/>
      <c r="E253" s="1350"/>
      <c r="F253" s="1355">
        <v>20101414940</v>
      </c>
      <c r="G253" s="33"/>
      <c r="H253" s="1356"/>
      <c r="I253" s="1357"/>
      <c r="J253" s="50"/>
    </row>
    <row r="254" spans="1:10" ht="12.75" x14ac:dyDescent="0.2">
      <c r="A254" s="1353" t="s">
        <v>4330</v>
      </c>
      <c r="B254" s="1354" t="s">
        <v>2285</v>
      </c>
      <c r="C254" s="1354" t="s">
        <v>2285</v>
      </c>
      <c r="D254" s="498">
        <v>2</v>
      </c>
      <c r="E254" s="1350">
        <v>271020</v>
      </c>
      <c r="F254" s="1360" t="s">
        <v>4310</v>
      </c>
      <c r="G254" s="33" t="s">
        <v>2891</v>
      </c>
      <c r="H254" s="1356">
        <v>43965</v>
      </c>
      <c r="I254" s="1357">
        <v>43970</v>
      </c>
      <c r="J254" s="50"/>
    </row>
    <row r="255" spans="1:10" ht="12.75" x14ac:dyDescent="0.2">
      <c r="A255" s="1353"/>
      <c r="B255" s="1354"/>
      <c r="C255" s="1354"/>
      <c r="D255" s="498"/>
      <c r="E255" s="1350"/>
      <c r="F255" s="1355">
        <v>20499358114</v>
      </c>
      <c r="G255" s="33"/>
      <c r="H255" s="1356"/>
      <c r="I255" s="498"/>
      <c r="J255" s="50"/>
    </row>
    <row r="256" spans="1:10" ht="12.75" x14ac:dyDescent="0.2">
      <c r="A256" s="1353" t="s">
        <v>4300</v>
      </c>
      <c r="B256" s="1354" t="s">
        <v>2285</v>
      </c>
      <c r="C256" s="1354" t="s">
        <v>2285</v>
      </c>
      <c r="D256" s="498">
        <v>3</v>
      </c>
      <c r="E256" s="1350">
        <v>120400</v>
      </c>
      <c r="F256" s="1358" t="s">
        <v>4301</v>
      </c>
      <c r="G256" s="33" t="s">
        <v>2891</v>
      </c>
      <c r="H256" s="1356">
        <v>43902</v>
      </c>
      <c r="I256" s="1357">
        <v>43910</v>
      </c>
      <c r="J256" s="50"/>
    </row>
    <row r="257" spans="1:10" ht="12.75" x14ac:dyDescent="0.2">
      <c r="A257" s="1353"/>
      <c r="B257" s="1354"/>
      <c r="C257" s="1354"/>
      <c r="D257" s="498"/>
      <c r="E257" s="1350"/>
      <c r="F257" s="1359">
        <v>20131529181</v>
      </c>
      <c r="G257" s="33"/>
      <c r="H257" s="1356"/>
      <c r="I257" s="498"/>
      <c r="J257" s="50"/>
    </row>
    <row r="258" spans="1:10" ht="12.75" x14ac:dyDescent="0.2">
      <c r="A258" s="1353"/>
      <c r="B258" s="1354"/>
      <c r="C258" s="1354"/>
      <c r="D258" s="498"/>
      <c r="E258" s="1350">
        <v>154800</v>
      </c>
      <c r="F258" s="1355" t="s">
        <v>4313</v>
      </c>
      <c r="G258" s="33" t="s">
        <v>2891</v>
      </c>
      <c r="H258" s="1356">
        <v>43966</v>
      </c>
      <c r="I258" s="1357">
        <v>43970</v>
      </c>
      <c r="J258" s="50"/>
    </row>
    <row r="259" spans="1:10" ht="12.75" x14ac:dyDescent="0.2">
      <c r="A259" s="1353"/>
      <c r="B259" s="1354"/>
      <c r="C259" s="1354"/>
      <c r="D259" s="498"/>
      <c r="E259" s="1350"/>
      <c r="F259" s="1360">
        <v>20508240393</v>
      </c>
      <c r="G259" s="33"/>
      <c r="H259" s="39"/>
      <c r="I259" s="498"/>
      <c r="J259" s="50"/>
    </row>
    <row r="260" spans="1:10" ht="12.75" x14ac:dyDescent="0.2">
      <c r="A260" s="1353" t="s">
        <v>4307</v>
      </c>
      <c r="B260" s="1354" t="s">
        <v>2285</v>
      </c>
      <c r="C260" s="1354" t="s">
        <v>2285</v>
      </c>
      <c r="D260" s="498">
        <v>4</v>
      </c>
      <c r="E260" s="1350">
        <v>180324.8</v>
      </c>
      <c r="F260" s="1355" t="s">
        <v>4331</v>
      </c>
      <c r="G260" s="33" t="s">
        <v>2891</v>
      </c>
      <c r="H260" s="1356"/>
      <c r="I260" s="1357"/>
      <c r="J260" s="50"/>
    </row>
    <row r="261" spans="1:10" ht="12.75" x14ac:dyDescent="0.2">
      <c r="A261" s="1353"/>
      <c r="B261" s="1354"/>
      <c r="C261" s="1354"/>
      <c r="D261" s="498"/>
      <c r="E261" s="1350"/>
      <c r="F261" s="1359">
        <v>20553453501</v>
      </c>
      <c r="G261" s="33"/>
      <c r="H261" s="39"/>
      <c r="I261" s="498"/>
      <c r="J261" s="50"/>
    </row>
    <row r="262" spans="1:10" ht="12.75" x14ac:dyDescent="0.2">
      <c r="A262" s="1353" t="s">
        <v>4309</v>
      </c>
      <c r="B262" s="1354" t="s">
        <v>2285</v>
      </c>
      <c r="C262" s="1354" t="s">
        <v>2285</v>
      </c>
      <c r="D262" s="498">
        <v>5</v>
      </c>
      <c r="E262" s="1350">
        <v>390720</v>
      </c>
      <c r="F262" s="1360" t="s">
        <v>4310</v>
      </c>
      <c r="G262" s="33" t="s">
        <v>2891</v>
      </c>
      <c r="H262" s="1356"/>
      <c r="I262" s="1357"/>
      <c r="J262" s="50"/>
    </row>
    <row r="263" spans="1:10" ht="12.75" x14ac:dyDescent="0.2">
      <c r="A263" s="1353"/>
      <c r="B263" s="1354"/>
      <c r="C263" s="1354"/>
      <c r="D263" s="498"/>
      <c r="E263" s="1350"/>
      <c r="F263" s="1355">
        <v>20499358114</v>
      </c>
      <c r="G263" s="33"/>
      <c r="H263" s="39"/>
      <c r="I263" s="498"/>
      <c r="J263" s="50"/>
    </row>
    <row r="264" spans="1:10" ht="24" x14ac:dyDescent="0.2">
      <c r="A264" s="1353" t="s">
        <v>4332</v>
      </c>
      <c r="B264" s="1354" t="s">
        <v>2285</v>
      </c>
      <c r="C264" s="1354" t="s">
        <v>2285</v>
      </c>
      <c r="D264" s="498">
        <v>6</v>
      </c>
      <c r="E264" s="1350">
        <v>183180</v>
      </c>
      <c r="F264" s="1355" t="s">
        <v>4333</v>
      </c>
      <c r="G264" s="33" t="s">
        <v>4324</v>
      </c>
      <c r="H264" s="1356"/>
      <c r="I264" s="1357"/>
      <c r="J264" s="50"/>
    </row>
    <row r="265" spans="1:10" ht="12.75" x14ac:dyDescent="0.2">
      <c r="A265" s="1353" t="s">
        <v>4334</v>
      </c>
      <c r="B265" s="1354" t="s">
        <v>2285</v>
      </c>
      <c r="C265" s="1354" t="s">
        <v>2285</v>
      </c>
      <c r="D265" s="498">
        <v>7</v>
      </c>
      <c r="E265" s="1350">
        <v>41500</v>
      </c>
      <c r="F265" s="1355"/>
      <c r="G265" s="33" t="s">
        <v>4335</v>
      </c>
      <c r="H265" s="39"/>
      <c r="I265" s="498"/>
      <c r="J265" s="50"/>
    </row>
    <row r="266" spans="1:10" ht="24" x14ac:dyDescent="0.2">
      <c r="A266" s="1353" t="s">
        <v>4336</v>
      </c>
      <c r="B266" s="1354" t="s">
        <v>2285</v>
      </c>
      <c r="C266" s="1354" t="s">
        <v>2285</v>
      </c>
      <c r="D266" s="498">
        <v>8</v>
      </c>
      <c r="E266" s="1350">
        <v>380680</v>
      </c>
      <c r="F266" s="1358"/>
      <c r="G266" s="33" t="s">
        <v>4335</v>
      </c>
      <c r="H266" s="1356"/>
      <c r="I266" s="1357"/>
      <c r="J266" s="50"/>
    </row>
    <row r="267" spans="1:10" ht="12.75" x14ac:dyDescent="0.2">
      <c r="A267" s="1353" t="s">
        <v>4337</v>
      </c>
      <c r="B267" s="1354" t="s">
        <v>2285</v>
      </c>
      <c r="C267" s="1354" t="s">
        <v>2285</v>
      </c>
      <c r="D267" s="498">
        <v>9</v>
      </c>
      <c r="E267" s="1350">
        <v>248970</v>
      </c>
      <c r="F267" s="1355"/>
      <c r="G267" s="33" t="s">
        <v>4324</v>
      </c>
      <c r="H267" s="39"/>
      <c r="I267" s="498"/>
      <c r="J267" s="50" t="s">
        <v>4325</v>
      </c>
    </row>
    <row r="268" spans="1:10" ht="12.75" x14ac:dyDescent="0.2">
      <c r="A268" s="1353" t="s">
        <v>4338</v>
      </c>
      <c r="B268" s="1354" t="s">
        <v>4339</v>
      </c>
      <c r="C268" s="1354" t="s">
        <v>4339</v>
      </c>
      <c r="D268" s="498">
        <v>10</v>
      </c>
      <c r="E268" s="1350">
        <v>287300</v>
      </c>
      <c r="F268" s="1355"/>
      <c r="G268" s="33" t="s">
        <v>4324</v>
      </c>
      <c r="H268" s="1356"/>
      <c r="I268" s="1357"/>
      <c r="J268" s="50" t="s">
        <v>4325</v>
      </c>
    </row>
    <row r="269" spans="1:10" ht="12.75" x14ac:dyDescent="0.2">
      <c r="A269" s="1353" t="s">
        <v>4340</v>
      </c>
      <c r="B269" s="1354" t="s">
        <v>2285</v>
      </c>
      <c r="C269" s="1354" t="s">
        <v>2285</v>
      </c>
      <c r="D269" s="498">
        <v>11</v>
      </c>
      <c r="E269" s="1350">
        <v>264500</v>
      </c>
      <c r="F269" s="1355"/>
      <c r="G269" s="33" t="s">
        <v>4324</v>
      </c>
      <c r="H269" s="39"/>
      <c r="I269" s="498"/>
      <c r="J269" s="50" t="s">
        <v>4325</v>
      </c>
    </row>
    <row r="270" spans="1:10" ht="12.75" x14ac:dyDescent="0.2">
      <c r="A270" s="1353" t="s">
        <v>4341</v>
      </c>
      <c r="B270" s="1354" t="s">
        <v>2285</v>
      </c>
      <c r="C270" s="1354" t="s">
        <v>2285</v>
      </c>
      <c r="D270" s="498">
        <v>12</v>
      </c>
      <c r="E270" s="1350">
        <v>202500</v>
      </c>
      <c r="F270" s="1355"/>
      <c r="G270" s="33" t="s">
        <v>4324</v>
      </c>
      <c r="H270" s="1356"/>
      <c r="I270" s="1357"/>
      <c r="J270" s="50" t="s">
        <v>4325</v>
      </c>
    </row>
    <row r="271" spans="1:10" ht="12.75" x14ac:dyDescent="0.2">
      <c r="A271" s="1353" t="s">
        <v>4342</v>
      </c>
      <c r="B271" s="1354" t="s">
        <v>2285</v>
      </c>
      <c r="C271" s="1354" t="s">
        <v>2285</v>
      </c>
      <c r="D271" s="498">
        <v>13</v>
      </c>
      <c r="E271" s="1350">
        <v>147000</v>
      </c>
      <c r="F271" s="1355"/>
      <c r="G271" s="33" t="s">
        <v>4324</v>
      </c>
      <c r="H271" s="1356"/>
      <c r="I271" s="1357"/>
      <c r="J271" s="50" t="s">
        <v>4325</v>
      </c>
    </row>
    <row r="272" spans="1:10" ht="12.75" x14ac:dyDescent="0.2">
      <c r="A272" s="1353" t="s">
        <v>4343</v>
      </c>
      <c r="B272" s="1354" t="s">
        <v>4339</v>
      </c>
      <c r="C272" s="1354" t="s">
        <v>4339</v>
      </c>
      <c r="D272" s="498">
        <v>14</v>
      </c>
      <c r="E272" s="1350">
        <v>360900</v>
      </c>
      <c r="F272" s="1355"/>
      <c r="G272" s="33" t="s">
        <v>4324</v>
      </c>
      <c r="H272" s="1356"/>
      <c r="I272" s="1357"/>
      <c r="J272" s="50" t="s">
        <v>4325</v>
      </c>
    </row>
    <row r="273" spans="1:10" ht="12.75" x14ac:dyDescent="0.2">
      <c r="A273" s="1353" t="s">
        <v>4344</v>
      </c>
      <c r="B273" s="1354" t="s">
        <v>2285</v>
      </c>
      <c r="C273" s="1354" t="s">
        <v>2285</v>
      </c>
      <c r="D273" s="498">
        <v>15</v>
      </c>
      <c r="E273" s="1350">
        <v>339100</v>
      </c>
      <c r="F273" s="1355"/>
      <c r="G273" s="33" t="s">
        <v>4324</v>
      </c>
      <c r="H273" s="1356"/>
      <c r="I273" s="1357"/>
      <c r="J273" s="50" t="s">
        <v>4325</v>
      </c>
    </row>
    <row r="274" spans="1:10" ht="24" x14ac:dyDescent="0.2">
      <c r="A274" s="1353" t="s">
        <v>4345</v>
      </c>
      <c r="B274" s="1354" t="s">
        <v>2285</v>
      </c>
      <c r="C274" s="1354" t="s">
        <v>2285</v>
      </c>
      <c r="D274" s="498">
        <v>16</v>
      </c>
      <c r="E274" s="1350">
        <v>134100</v>
      </c>
      <c r="F274" s="1355"/>
      <c r="G274" s="33" t="s">
        <v>4324</v>
      </c>
      <c r="H274" s="39"/>
      <c r="I274" s="498"/>
      <c r="J274" s="50" t="s">
        <v>4325</v>
      </c>
    </row>
    <row r="275" spans="1:10" ht="24" x14ac:dyDescent="0.2">
      <c r="A275" s="1353" t="s">
        <v>4346</v>
      </c>
      <c r="B275" s="1354" t="s">
        <v>2285</v>
      </c>
      <c r="C275" s="1354" t="s">
        <v>2285</v>
      </c>
      <c r="D275" s="498">
        <v>17</v>
      </c>
      <c r="E275" s="1350">
        <v>140001</v>
      </c>
      <c r="F275" s="1355"/>
      <c r="G275" s="33" t="s">
        <v>4324</v>
      </c>
      <c r="H275" s="39"/>
      <c r="I275" s="498"/>
      <c r="J275" s="50" t="s">
        <v>4325</v>
      </c>
    </row>
    <row r="276" spans="1:10" ht="12.75" x14ac:dyDescent="0.2">
      <c r="A276" s="1353" t="s">
        <v>4347</v>
      </c>
      <c r="B276" s="1354" t="s">
        <v>2285</v>
      </c>
      <c r="C276" s="1354" t="s">
        <v>2285</v>
      </c>
      <c r="D276" s="498">
        <v>18</v>
      </c>
      <c r="E276" s="1350">
        <v>144000</v>
      </c>
      <c r="F276" s="1355"/>
      <c r="G276" s="33" t="s">
        <v>4324</v>
      </c>
      <c r="H276" s="39"/>
      <c r="I276" s="498"/>
      <c r="J276" s="50" t="s">
        <v>4325</v>
      </c>
    </row>
    <row r="277" spans="1:10" ht="12.75" x14ac:dyDescent="0.2">
      <c r="A277" s="1353" t="s">
        <v>4348</v>
      </c>
      <c r="B277" s="1354" t="s">
        <v>4328</v>
      </c>
      <c r="C277" s="1354" t="s">
        <v>4328</v>
      </c>
      <c r="D277" s="498">
        <v>19</v>
      </c>
      <c r="E277" s="1350">
        <v>50000</v>
      </c>
      <c r="F277" s="1355"/>
      <c r="G277" s="33"/>
      <c r="H277" s="1356"/>
      <c r="I277" s="1357"/>
      <c r="J277" s="50"/>
    </row>
    <row r="278" spans="1:10" ht="13.5" thickBot="1" x14ac:dyDescent="0.25">
      <c r="A278" s="1374" t="s">
        <v>4349</v>
      </c>
      <c r="B278" s="1375" t="s">
        <v>4350</v>
      </c>
      <c r="C278" s="1375" t="s">
        <v>4350</v>
      </c>
      <c r="D278" s="83">
        <v>20</v>
      </c>
      <c r="E278" s="1376">
        <v>120000</v>
      </c>
      <c r="F278" s="1377"/>
      <c r="G278" s="82"/>
      <c r="H278" s="1378"/>
      <c r="I278" s="1379"/>
      <c r="J278" s="1042"/>
    </row>
    <row r="279" spans="1:10" ht="13.5" thickBot="1" x14ac:dyDescent="0.25">
      <c r="A279" s="1365" t="s">
        <v>0</v>
      </c>
      <c r="B279" s="1366"/>
      <c r="C279" s="1366"/>
      <c r="D279" s="1367"/>
      <c r="E279" s="1368">
        <f>SUM(E245:E278)</f>
        <v>5975570.5299999993</v>
      </c>
      <c r="F279" s="1369"/>
      <c r="G279" s="1365"/>
      <c r="H279" s="1380"/>
      <c r="I279" s="1367"/>
      <c r="J279" s="1372"/>
    </row>
    <row r="280" spans="1:10" x14ac:dyDescent="0.2">
      <c r="A280" s="1039" t="s">
        <v>4351</v>
      </c>
      <c r="B280" s="1349"/>
      <c r="C280" s="676"/>
      <c r="D280" s="700"/>
      <c r="E280" s="1032"/>
      <c r="F280" s="1032"/>
      <c r="G280" s="497"/>
      <c r="H280" s="496"/>
      <c r="I280" s="496"/>
      <c r="J280" s="497"/>
    </row>
    <row r="281" spans="1:10" ht="12.75" x14ac:dyDescent="0.2">
      <c r="A281" s="1353" t="s">
        <v>4286</v>
      </c>
      <c r="B281" s="1354" t="s">
        <v>4287</v>
      </c>
      <c r="C281" s="1354"/>
      <c r="D281" s="498"/>
      <c r="E281" s="1350">
        <v>1780000</v>
      </c>
      <c r="F281" s="1355"/>
      <c r="G281" s="809"/>
      <c r="H281" s="1352"/>
      <c r="I281" s="1185"/>
      <c r="J281" s="497"/>
    </row>
    <row r="282" spans="1:10" ht="12.75" x14ac:dyDescent="0.2">
      <c r="A282" s="1353" t="s">
        <v>4294</v>
      </c>
      <c r="B282" s="1354" t="s">
        <v>2285</v>
      </c>
      <c r="C282" s="1354"/>
      <c r="D282" s="498"/>
      <c r="E282" s="1350">
        <v>274700</v>
      </c>
      <c r="F282" s="1358"/>
      <c r="G282" s="809"/>
      <c r="H282" s="1352"/>
      <c r="I282" s="1185"/>
      <c r="J282" s="497"/>
    </row>
    <row r="283" spans="1:10" ht="12.75" x14ac:dyDescent="0.2">
      <c r="A283" s="1353" t="s">
        <v>4298</v>
      </c>
      <c r="B283" s="1354" t="s">
        <v>4328</v>
      </c>
      <c r="C283" s="1354"/>
      <c r="D283" s="498"/>
      <c r="E283" s="1350">
        <v>88000</v>
      </c>
      <c r="F283" s="1355"/>
      <c r="G283" s="809"/>
      <c r="H283" s="1352"/>
      <c r="I283" s="1185"/>
      <c r="J283" s="50"/>
    </row>
    <row r="284" spans="1:10" ht="12.75" x14ac:dyDescent="0.2">
      <c r="A284" s="1353" t="s">
        <v>4330</v>
      </c>
      <c r="B284" s="1354" t="s">
        <v>2285</v>
      </c>
      <c r="C284" s="1354"/>
      <c r="D284" s="498"/>
      <c r="E284" s="1350">
        <v>276500</v>
      </c>
      <c r="F284" s="1360"/>
      <c r="G284" s="809"/>
      <c r="H284" s="1352"/>
      <c r="I284" s="1185"/>
      <c r="J284" s="50"/>
    </row>
    <row r="285" spans="1:10" ht="12.75" x14ac:dyDescent="0.2">
      <c r="A285" s="1353" t="s">
        <v>4300</v>
      </c>
      <c r="B285" s="1354" t="s">
        <v>2285</v>
      </c>
      <c r="C285" s="1354"/>
      <c r="D285" s="498"/>
      <c r="E285" s="1350">
        <v>283800</v>
      </c>
      <c r="F285" s="1358"/>
      <c r="G285" s="809"/>
      <c r="H285" s="1352"/>
      <c r="I285" s="1185"/>
      <c r="J285" s="50"/>
    </row>
    <row r="286" spans="1:10" ht="12.75" x14ac:dyDescent="0.2">
      <c r="A286" s="1353" t="s">
        <v>4307</v>
      </c>
      <c r="B286" s="1354" t="s">
        <v>2285</v>
      </c>
      <c r="C286" s="1354"/>
      <c r="D286" s="498"/>
      <c r="E286" s="1350">
        <v>185000</v>
      </c>
      <c r="F286" s="1355"/>
      <c r="G286" s="809"/>
      <c r="H286" s="1352"/>
      <c r="I286" s="1185"/>
      <c r="J286" s="50"/>
    </row>
    <row r="287" spans="1:10" ht="12.75" x14ac:dyDescent="0.2">
      <c r="A287" s="1353" t="s">
        <v>4309</v>
      </c>
      <c r="B287" s="1354" t="s">
        <v>2285</v>
      </c>
      <c r="C287" s="1354"/>
      <c r="D287" s="498"/>
      <c r="E287" s="1350">
        <v>396120</v>
      </c>
      <c r="F287" s="1360"/>
      <c r="G287" s="809"/>
      <c r="H287" s="1352"/>
      <c r="I287" s="1185"/>
      <c r="J287" s="50"/>
    </row>
    <row r="288" spans="1:10" ht="24" x14ac:dyDescent="0.2">
      <c r="A288" s="1353" t="s">
        <v>4332</v>
      </c>
      <c r="B288" s="1354" t="s">
        <v>2285</v>
      </c>
      <c r="C288" s="1354"/>
      <c r="D288" s="498"/>
      <c r="E288" s="1350">
        <v>142000</v>
      </c>
      <c r="F288" s="1355"/>
      <c r="G288" s="809"/>
      <c r="H288" s="1352"/>
      <c r="I288" s="1185"/>
      <c r="J288" s="50"/>
    </row>
    <row r="289" spans="1:10" ht="12.75" x14ac:dyDescent="0.2">
      <c r="A289" s="1353" t="s">
        <v>4334</v>
      </c>
      <c r="B289" s="1354" t="s">
        <v>2285</v>
      </c>
      <c r="C289" s="1354"/>
      <c r="D289" s="498"/>
      <c r="E289" s="1350">
        <v>50000</v>
      </c>
      <c r="F289" s="1355"/>
      <c r="G289" s="809"/>
      <c r="H289" s="39"/>
      <c r="I289" s="498"/>
      <c r="J289" s="50"/>
    </row>
    <row r="290" spans="1:10" ht="24" x14ac:dyDescent="0.2">
      <c r="A290" s="1353" t="s">
        <v>4336</v>
      </c>
      <c r="B290" s="1354" t="s">
        <v>2285</v>
      </c>
      <c r="C290" s="1354"/>
      <c r="D290" s="498"/>
      <c r="E290" s="1350">
        <v>380680</v>
      </c>
      <c r="F290" s="1358"/>
      <c r="G290" s="809"/>
      <c r="H290" s="1352"/>
      <c r="I290" s="1185"/>
      <c r="J290" s="50"/>
    </row>
    <row r="291" spans="1:10" ht="12.75" x14ac:dyDescent="0.2">
      <c r="A291" s="1353" t="s">
        <v>4337</v>
      </c>
      <c r="B291" s="1354" t="s">
        <v>2285</v>
      </c>
      <c r="C291" s="1354"/>
      <c r="D291" s="498"/>
      <c r="E291" s="1350">
        <v>248970</v>
      </c>
      <c r="F291" s="1355"/>
      <c r="G291" s="809"/>
      <c r="H291" s="496"/>
      <c r="I291" s="495"/>
      <c r="J291" s="50"/>
    </row>
    <row r="292" spans="1:10" ht="12.75" x14ac:dyDescent="0.2">
      <c r="A292" s="1353" t="s">
        <v>4338</v>
      </c>
      <c r="B292" s="1354" t="s">
        <v>4339</v>
      </c>
      <c r="C292" s="1354"/>
      <c r="D292" s="498"/>
      <c r="E292" s="1350">
        <v>287300</v>
      </c>
      <c r="F292" s="1355"/>
      <c r="G292" s="809"/>
      <c r="H292" s="1352"/>
      <c r="I292" s="1185"/>
      <c r="J292" s="50"/>
    </row>
    <row r="293" spans="1:10" ht="12.75" x14ac:dyDescent="0.2">
      <c r="A293" s="1353" t="s">
        <v>4340</v>
      </c>
      <c r="B293" s="1354" t="s">
        <v>2285</v>
      </c>
      <c r="C293" s="1354"/>
      <c r="D293" s="498"/>
      <c r="E293" s="1350">
        <v>264500</v>
      </c>
      <c r="F293" s="1355"/>
      <c r="G293" s="809"/>
      <c r="H293" s="496"/>
      <c r="I293" s="495"/>
      <c r="J293" s="50"/>
    </row>
    <row r="294" spans="1:10" ht="12.75" x14ac:dyDescent="0.2">
      <c r="A294" s="1353" t="s">
        <v>4341</v>
      </c>
      <c r="B294" s="1354" t="s">
        <v>2285</v>
      </c>
      <c r="C294" s="1354"/>
      <c r="D294" s="498"/>
      <c r="E294" s="1350">
        <v>202500</v>
      </c>
      <c r="F294" s="1355"/>
      <c r="G294" s="809"/>
      <c r="H294" s="1352"/>
      <c r="I294" s="1185"/>
      <c r="J294" s="50"/>
    </row>
    <row r="295" spans="1:10" ht="12.75" x14ac:dyDescent="0.2">
      <c r="A295" s="1353" t="s">
        <v>4342</v>
      </c>
      <c r="B295" s="1354" t="s">
        <v>2285</v>
      </c>
      <c r="C295" s="1354"/>
      <c r="D295" s="498"/>
      <c r="E295" s="1350">
        <v>147000</v>
      </c>
      <c r="F295" s="1355"/>
      <c r="G295" s="809"/>
      <c r="H295" s="1352"/>
      <c r="I295" s="1185"/>
      <c r="J295" s="50"/>
    </row>
    <row r="296" spans="1:10" ht="12.75" x14ac:dyDescent="0.2">
      <c r="A296" s="1353" t="s">
        <v>4343</v>
      </c>
      <c r="B296" s="1354" t="s">
        <v>4339</v>
      </c>
      <c r="C296" s="1354"/>
      <c r="D296" s="498"/>
      <c r="E296" s="1350">
        <v>360900</v>
      </c>
      <c r="F296" s="1355"/>
      <c r="G296" s="809"/>
      <c r="H296" s="1352"/>
      <c r="I296" s="1185"/>
      <c r="J296" s="50"/>
    </row>
    <row r="297" spans="1:10" ht="12.75" x14ac:dyDescent="0.2">
      <c r="A297" s="1353" t="s">
        <v>4344</v>
      </c>
      <c r="B297" s="1354" t="s">
        <v>2285</v>
      </c>
      <c r="C297" s="1354"/>
      <c r="D297" s="498"/>
      <c r="E297" s="1350">
        <v>339100</v>
      </c>
      <c r="F297" s="1355"/>
      <c r="G297" s="809"/>
      <c r="H297" s="1352"/>
      <c r="I297" s="1185"/>
      <c r="J297" s="50"/>
    </row>
    <row r="298" spans="1:10" ht="24" x14ac:dyDescent="0.2">
      <c r="A298" s="1353" t="s">
        <v>4345</v>
      </c>
      <c r="B298" s="1354" t="s">
        <v>2285</v>
      </c>
      <c r="C298" s="1354"/>
      <c r="D298" s="498"/>
      <c r="E298" s="1350">
        <v>134100</v>
      </c>
      <c r="F298" s="1355"/>
      <c r="G298" s="809"/>
      <c r="H298" s="39"/>
      <c r="I298" s="498"/>
      <c r="J298" s="50"/>
    </row>
    <row r="299" spans="1:10" ht="24" x14ac:dyDescent="0.2">
      <c r="A299" s="1353" t="s">
        <v>4346</v>
      </c>
      <c r="B299" s="1354" t="s">
        <v>2285</v>
      </c>
      <c r="C299" s="1354"/>
      <c r="D299" s="498"/>
      <c r="E299" s="1350">
        <v>140001</v>
      </c>
      <c r="F299" s="1355"/>
      <c r="G299" s="809"/>
      <c r="H299" s="39"/>
      <c r="I299" s="498"/>
      <c r="J299" s="50"/>
    </row>
    <row r="300" spans="1:10" ht="12.75" x14ac:dyDescent="0.2">
      <c r="A300" s="1353" t="s">
        <v>4347</v>
      </c>
      <c r="B300" s="1354" t="s">
        <v>2285</v>
      </c>
      <c r="C300" s="1354"/>
      <c r="D300" s="498"/>
      <c r="E300" s="1350">
        <v>144000</v>
      </c>
      <c r="F300" s="1355"/>
      <c r="G300" s="809"/>
      <c r="H300" s="39"/>
      <c r="I300" s="498"/>
      <c r="J300" s="50"/>
    </row>
    <row r="301" spans="1:10" ht="12.75" x14ac:dyDescent="0.2">
      <c r="A301" s="1353" t="s">
        <v>4348</v>
      </c>
      <c r="B301" s="1354" t="s">
        <v>4328</v>
      </c>
      <c r="C301" s="1354"/>
      <c r="D301" s="498"/>
      <c r="E301" s="1350">
        <v>50000</v>
      </c>
      <c r="F301" s="1355"/>
      <c r="G301" s="809"/>
      <c r="H301" s="1352"/>
      <c r="I301" s="1185"/>
      <c r="J301" s="50"/>
    </row>
    <row r="302" spans="1:10" ht="13.5" thickBot="1" x14ac:dyDescent="0.25">
      <c r="A302" s="1374" t="s">
        <v>4349</v>
      </c>
      <c r="B302" s="1375" t="s">
        <v>4350</v>
      </c>
      <c r="C302" s="1375"/>
      <c r="D302" s="83"/>
      <c r="E302" s="1376">
        <v>120000</v>
      </c>
      <c r="F302" s="1377"/>
      <c r="G302" s="1381"/>
      <c r="H302" s="1382"/>
      <c r="I302" s="1383"/>
      <c r="J302" s="1042"/>
    </row>
  </sheetData>
  <phoneticPr fontId="14" type="noConversion"/>
  <printOptions horizontalCentered="1"/>
  <pageMargins left="0.25" right="0.25" top="0.75" bottom="0.75" header="0.3" footer="0.3"/>
  <pageSetup paperSize="9" scale="1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>
    <tabColor rgb="FF0070C0"/>
    <pageSetUpPr fitToPage="1"/>
  </sheetPr>
  <dimension ref="A1:W67"/>
  <sheetViews>
    <sheetView view="pageLayout" topLeftCell="A34" zoomScale="85" zoomScaleNormal="100" zoomScaleSheetLayoutView="100" zoomScalePageLayoutView="85" workbookViewId="0">
      <selection activeCell="A94" sqref="A94:W128"/>
    </sheetView>
  </sheetViews>
  <sheetFormatPr baseColWidth="10" defaultColWidth="11.42578125" defaultRowHeight="12" x14ac:dyDescent="0.2"/>
  <cols>
    <col min="1" max="1" width="35.7109375" style="3" customWidth="1"/>
    <col min="2" max="2" width="30.7109375" style="3" customWidth="1"/>
    <col min="3" max="3" width="31.140625" style="162" customWidth="1"/>
    <col min="4" max="4" width="23.28515625" style="3" customWidth="1"/>
    <col min="5" max="5" width="22.28515625" style="147" customWidth="1"/>
    <col min="6" max="6" width="32.85546875" style="3" customWidth="1"/>
    <col min="7" max="7" width="39.5703125" style="3" customWidth="1"/>
    <col min="8" max="8" width="23.5703125" style="3" customWidth="1"/>
    <col min="9" max="16384" width="11.42578125" style="3"/>
  </cols>
  <sheetData>
    <row r="1" spans="1:23" s="5" customFormat="1" x14ac:dyDescent="0.2">
      <c r="A1" s="163" t="s">
        <v>432</v>
      </c>
      <c r="B1" s="163"/>
      <c r="C1" s="163"/>
      <c r="D1" s="163"/>
      <c r="E1" s="163"/>
      <c r="F1" s="163"/>
      <c r="G1" s="163"/>
    </row>
    <row r="2" spans="1:23" s="5" customFormat="1" x14ac:dyDescent="0.2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ht="12.75" thickBot="1" x14ac:dyDescent="0.25">
      <c r="A3" s="15" t="s">
        <v>477</v>
      </c>
      <c r="B3" s="15"/>
      <c r="C3" s="15"/>
      <c r="D3" s="20"/>
      <c r="E3" s="20"/>
      <c r="F3" s="20"/>
    </row>
    <row r="4" spans="1:23" ht="12.75" thickBot="1" x14ac:dyDescent="0.25">
      <c r="A4" s="1524" t="s">
        <v>33</v>
      </c>
      <c r="B4" s="1524" t="s">
        <v>360</v>
      </c>
      <c r="C4" s="1524" t="s">
        <v>361</v>
      </c>
      <c r="D4" s="264" t="s">
        <v>398</v>
      </c>
      <c r="E4" s="264" t="s">
        <v>357</v>
      </c>
      <c r="F4" s="377" t="s">
        <v>358</v>
      </c>
      <c r="G4" s="1524" t="s">
        <v>48</v>
      </c>
      <c r="H4" s="1524" t="s">
        <v>126</v>
      </c>
    </row>
    <row r="5" spans="1:23" ht="12.75" customHeight="1" thickBot="1" x14ac:dyDescent="0.25">
      <c r="A5" s="1525"/>
      <c r="B5" s="1525"/>
      <c r="C5" s="1525"/>
      <c r="D5" s="265" t="s">
        <v>356</v>
      </c>
      <c r="E5" s="265" t="s">
        <v>356</v>
      </c>
      <c r="F5" s="265" t="s">
        <v>356</v>
      </c>
      <c r="G5" s="1526"/>
      <c r="H5" s="1526"/>
    </row>
    <row r="6" spans="1:23" s="162" customFormat="1" ht="15.75" x14ac:dyDescent="0.2">
      <c r="A6" s="484" t="s">
        <v>1279</v>
      </c>
      <c r="B6" s="485"/>
      <c r="C6" s="486"/>
      <c r="D6" s="489"/>
      <c r="E6" s="489"/>
      <c r="F6" s="489"/>
      <c r="G6" s="492"/>
      <c r="H6" s="493"/>
    </row>
    <row r="7" spans="1:23" s="162" customFormat="1" ht="48" x14ac:dyDescent="0.2">
      <c r="A7" s="486" t="s">
        <v>1280</v>
      </c>
      <c r="B7" s="485"/>
      <c r="C7" s="486" t="s">
        <v>1281</v>
      </c>
      <c r="D7" s="489">
        <v>0</v>
      </c>
      <c r="E7" s="489">
        <v>0</v>
      </c>
      <c r="F7" s="489"/>
      <c r="G7" s="491" t="s">
        <v>1282</v>
      </c>
      <c r="H7" s="493" t="s">
        <v>1277</v>
      </c>
    </row>
    <row r="8" spans="1:23" s="162" customFormat="1" ht="15.75" x14ac:dyDescent="0.2">
      <c r="A8" s="484" t="s">
        <v>1283</v>
      </c>
      <c r="B8" s="485"/>
      <c r="C8" s="486"/>
      <c r="D8" s="489"/>
      <c r="E8" s="489"/>
      <c r="F8" s="489"/>
      <c r="G8" s="491"/>
      <c r="H8" s="493"/>
    </row>
    <row r="9" spans="1:23" ht="60" x14ac:dyDescent="0.2">
      <c r="A9" s="486" t="s">
        <v>1284</v>
      </c>
      <c r="B9" s="485"/>
      <c r="C9" s="486" t="s">
        <v>1285</v>
      </c>
      <c r="D9" s="489">
        <v>0</v>
      </c>
      <c r="E9" s="489">
        <v>0</v>
      </c>
      <c r="F9" s="489">
        <v>82501.33</v>
      </c>
      <c r="G9" s="491" t="s">
        <v>1275</v>
      </c>
      <c r="H9" s="493" t="s">
        <v>1277</v>
      </c>
    </row>
    <row r="10" spans="1:23" ht="96" x14ac:dyDescent="0.2">
      <c r="A10" s="486" t="s">
        <v>1286</v>
      </c>
      <c r="B10" s="486" t="s">
        <v>1287</v>
      </c>
      <c r="C10" s="485"/>
      <c r="D10" s="489">
        <v>0</v>
      </c>
      <c r="E10" s="489">
        <v>0</v>
      </c>
      <c r="F10" s="489">
        <v>72529.88</v>
      </c>
      <c r="G10" s="491" t="s">
        <v>1275</v>
      </c>
      <c r="H10" s="493" t="s">
        <v>1278</v>
      </c>
    </row>
    <row r="11" spans="1:23" x14ac:dyDescent="0.2">
      <c r="A11" s="60"/>
      <c r="B11" s="60"/>
      <c r="C11" s="60"/>
      <c r="D11" s="58"/>
      <c r="E11" s="2"/>
      <c r="F11" s="357"/>
      <c r="G11" s="47"/>
      <c r="H11" s="47"/>
    </row>
    <row r="12" spans="1:23" ht="12.75" thickBot="1" x14ac:dyDescent="0.25">
      <c r="A12" s="82"/>
      <c r="B12" s="82"/>
      <c r="C12" s="82"/>
      <c r="D12" s="37"/>
      <c r="E12" s="30"/>
      <c r="F12" s="358"/>
      <c r="G12" s="40"/>
      <c r="H12" s="40"/>
    </row>
    <row r="13" spans="1:23" ht="12.75" thickBot="1" x14ac:dyDescent="0.25">
      <c r="A13" s="132" t="s">
        <v>34</v>
      </c>
      <c r="B13" s="57"/>
      <c r="C13" s="57"/>
      <c r="D13" s="494">
        <f>SUM(D6:D10)</f>
        <v>0</v>
      </c>
      <c r="E13" s="494">
        <f>SUM(E6:E10)</f>
        <v>0</v>
      </c>
      <c r="F13" s="494">
        <f>SUM(F6:F10)</f>
        <v>155031.21000000002</v>
      </c>
      <c r="G13" s="45"/>
      <c r="H13" s="45"/>
    </row>
    <row r="14" spans="1:23" x14ac:dyDescent="0.2">
      <c r="A14" s="29"/>
      <c r="B14" s="29"/>
      <c r="C14" s="29"/>
      <c r="D14" s="2"/>
      <c r="E14" s="2"/>
      <c r="F14" s="2"/>
    </row>
    <row r="15" spans="1:23" x14ac:dyDescent="0.2">
      <c r="A15" s="21" t="s">
        <v>49</v>
      </c>
      <c r="B15" s="21"/>
      <c r="C15" s="21"/>
      <c r="D15" s="2"/>
      <c r="E15" s="2"/>
      <c r="F15" s="2"/>
    </row>
    <row r="16" spans="1:23" x14ac:dyDescent="0.2">
      <c r="A16" s="1" t="s">
        <v>127</v>
      </c>
      <c r="B16" s="1"/>
      <c r="C16" s="1"/>
      <c r="D16" s="2"/>
      <c r="E16" s="2"/>
      <c r="F16" s="2"/>
    </row>
    <row r="28" spans="1:8" x14ac:dyDescent="0.2">
      <c r="A28" s="490" t="s">
        <v>432</v>
      </c>
      <c r="B28" s="490"/>
      <c r="C28" s="490"/>
      <c r="D28" s="490"/>
      <c r="E28" s="490"/>
      <c r="F28" s="490"/>
      <c r="G28" s="490"/>
      <c r="H28" s="162"/>
    </row>
    <row r="29" spans="1:8" x14ac:dyDescent="0.2">
      <c r="A29" s="173" t="s">
        <v>460</v>
      </c>
      <c r="B29" s="490"/>
      <c r="C29" s="490"/>
      <c r="D29" s="490"/>
      <c r="E29" s="490"/>
      <c r="F29" s="490"/>
      <c r="G29" s="490"/>
      <c r="H29" s="490"/>
    </row>
    <row r="30" spans="1:8" ht="12.75" thickBot="1" x14ac:dyDescent="0.25">
      <c r="A30" s="15" t="s">
        <v>1396</v>
      </c>
      <c r="B30" s="15"/>
      <c r="C30" s="15"/>
      <c r="D30" s="661"/>
      <c r="E30" s="661"/>
      <c r="F30" s="661"/>
      <c r="G30" s="162"/>
      <c r="H30" s="162"/>
    </row>
    <row r="31" spans="1:8" ht="12.75" thickBot="1" x14ac:dyDescent="0.25">
      <c r="A31" s="1524" t="s">
        <v>33</v>
      </c>
      <c r="B31" s="1524" t="s">
        <v>360</v>
      </c>
      <c r="C31" s="1524" t="s">
        <v>361</v>
      </c>
      <c r="D31" s="264" t="s">
        <v>1609</v>
      </c>
      <c r="E31" s="264" t="s">
        <v>1610</v>
      </c>
      <c r="F31" s="508" t="s">
        <v>1611</v>
      </c>
      <c r="G31" s="1524" t="s">
        <v>48</v>
      </c>
      <c r="H31" s="1524" t="s">
        <v>126</v>
      </c>
    </row>
    <row r="32" spans="1:8" ht="12.75" thickBot="1" x14ac:dyDescent="0.25">
      <c r="A32" s="1525"/>
      <c r="B32" s="1525"/>
      <c r="C32" s="1525"/>
      <c r="D32" s="265" t="s">
        <v>356</v>
      </c>
      <c r="E32" s="265" t="s">
        <v>356</v>
      </c>
      <c r="F32" s="265" t="s">
        <v>356</v>
      </c>
      <c r="G32" s="1526"/>
      <c r="H32" s="1526"/>
    </row>
    <row r="33" spans="1:8" x14ac:dyDescent="0.2">
      <c r="A33" s="676">
        <v>1</v>
      </c>
      <c r="B33" s="676"/>
      <c r="C33" s="593" t="s">
        <v>1612</v>
      </c>
      <c r="D33" s="677">
        <v>7600</v>
      </c>
      <c r="E33" s="28"/>
      <c r="F33" s="358"/>
      <c r="G33" s="40" t="s">
        <v>1613</v>
      </c>
      <c r="H33" s="40" t="s">
        <v>1276</v>
      </c>
    </row>
    <row r="34" spans="1:8" x14ac:dyDescent="0.2">
      <c r="A34" s="676">
        <v>2</v>
      </c>
      <c r="B34" s="676"/>
      <c r="C34" s="593" t="s">
        <v>1612</v>
      </c>
      <c r="D34" s="677"/>
      <c r="E34" s="677">
        <v>7600</v>
      </c>
      <c r="F34" s="358">
        <v>0</v>
      </c>
      <c r="G34" s="40" t="s">
        <v>1613</v>
      </c>
      <c r="H34" s="40" t="s">
        <v>1276</v>
      </c>
    </row>
    <row r="35" spans="1:8" x14ac:dyDescent="0.2">
      <c r="A35" s="676">
        <v>3</v>
      </c>
      <c r="B35" s="676"/>
      <c r="C35" s="593"/>
      <c r="D35" s="677"/>
      <c r="E35" s="28"/>
      <c r="F35" s="358"/>
      <c r="G35" s="40"/>
      <c r="H35" s="492"/>
    </row>
    <row r="36" spans="1:8" x14ac:dyDescent="0.2">
      <c r="A36" s="676">
        <v>4</v>
      </c>
      <c r="B36" s="676"/>
      <c r="C36" s="593"/>
      <c r="D36" s="37"/>
      <c r="E36" s="28"/>
      <c r="F36" s="358"/>
      <c r="G36" s="40"/>
      <c r="H36" s="492"/>
    </row>
    <row r="37" spans="1:8" x14ac:dyDescent="0.2">
      <c r="A37" s="676">
        <v>5</v>
      </c>
      <c r="B37" s="676"/>
      <c r="C37" s="676"/>
      <c r="D37" s="487"/>
      <c r="E37" s="490"/>
      <c r="F37" s="488"/>
      <c r="G37" s="492"/>
      <c r="H37" s="492"/>
    </row>
    <row r="38" spans="1:8" x14ac:dyDescent="0.2">
      <c r="A38" s="676">
        <v>6</v>
      </c>
      <c r="B38" s="676"/>
      <c r="C38" s="676"/>
      <c r="D38" s="487"/>
      <c r="E38" s="490"/>
      <c r="F38" s="488"/>
      <c r="G38" s="492"/>
      <c r="H38" s="492"/>
    </row>
    <row r="39" spans="1:8" x14ac:dyDescent="0.2">
      <c r="A39" s="676">
        <v>7</v>
      </c>
      <c r="B39" s="676"/>
      <c r="C39" s="676"/>
      <c r="D39" s="487"/>
      <c r="E39" s="490"/>
      <c r="F39" s="488"/>
      <c r="G39" s="492"/>
      <c r="H39" s="492"/>
    </row>
    <row r="40" spans="1:8" x14ac:dyDescent="0.2">
      <c r="A40" s="676">
        <v>8</v>
      </c>
      <c r="B40" s="676"/>
      <c r="C40" s="676"/>
      <c r="D40" s="487"/>
      <c r="E40" s="490"/>
      <c r="F40" s="488"/>
      <c r="G40" s="492"/>
      <c r="H40" s="492"/>
    </row>
    <row r="41" spans="1:8" x14ac:dyDescent="0.2">
      <c r="A41" s="676">
        <v>9</v>
      </c>
      <c r="B41" s="676"/>
      <c r="C41" s="676"/>
      <c r="D41" s="487"/>
      <c r="E41" s="490"/>
      <c r="F41" s="488"/>
      <c r="G41" s="492"/>
      <c r="H41" s="492"/>
    </row>
    <row r="42" spans="1:8" x14ac:dyDescent="0.2">
      <c r="A42" s="676"/>
      <c r="B42" s="676"/>
      <c r="C42" s="676"/>
      <c r="D42" s="487"/>
      <c r="E42" s="490"/>
      <c r="F42" s="488"/>
      <c r="G42" s="492"/>
      <c r="H42" s="492"/>
    </row>
    <row r="43" spans="1:8" ht="12.75" thickBot="1" x14ac:dyDescent="0.25">
      <c r="A43" s="82"/>
      <c r="B43" s="82"/>
      <c r="C43" s="82"/>
      <c r="D43" s="37"/>
      <c r="E43" s="28"/>
      <c r="F43" s="358"/>
      <c r="G43" s="40"/>
      <c r="H43" s="40"/>
    </row>
    <row r="44" spans="1:8" ht="12.75" thickBot="1" x14ac:dyDescent="0.25">
      <c r="A44" s="132" t="s">
        <v>34</v>
      </c>
      <c r="B44" s="57"/>
      <c r="C44" s="57"/>
      <c r="D44" s="42"/>
      <c r="E44" s="43"/>
      <c r="F44" s="678"/>
      <c r="G44" s="45"/>
      <c r="H44" s="45"/>
    </row>
    <row r="45" spans="1:8" x14ac:dyDescent="0.2">
      <c r="A45" s="563"/>
      <c r="B45" s="563"/>
      <c r="C45" s="563"/>
      <c r="D45" s="490"/>
      <c r="E45" s="490"/>
      <c r="F45" s="490"/>
      <c r="G45" s="162"/>
      <c r="H45" s="162"/>
    </row>
    <row r="48" spans="1:8" x14ac:dyDescent="0.2">
      <c r="A48" s="490" t="s">
        <v>432</v>
      </c>
      <c r="B48" s="490"/>
      <c r="C48" s="490"/>
      <c r="D48" s="490"/>
      <c r="E48" s="490"/>
      <c r="F48" s="490"/>
      <c r="G48" s="490"/>
      <c r="H48" s="162"/>
    </row>
    <row r="49" spans="1:8" x14ac:dyDescent="0.2">
      <c r="A49" s="490" t="s">
        <v>4261</v>
      </c>
      <c r="B49" s="490"/>
      <c r="C49" s="490"/>
      <c r="D49" s="490"/>
      <c r="E49" s="490"/>
      <c r="F49" s="490"/>
      <c r="G49" s="490"/>
      <c r="H49" s="490"/>
    </row>
    <row r="50" spans="1:8" ht="12.75" thickBot="1" x14ac:dyDescent="0.25">
      <c r="A50" s="490" t="s">
        <v>4262</v>
      </c>
      <c r="B50" s="15"/>
      <c r="C50" s="15"/>
      <c r="D50" s="661"/>
      <c r="E50" s="661"/>
      <c r="F50" s="661"/>
      <c r="G50" s="162"/>
      <c r="H50" s="162"/>
    </row>
    <row r="51" spans="1:8" ht="12.75" thickBot="1" x14ac:dyDescent="0.25">
      <c r="A51" s="1524" t="s">
        <v>33</v>
      </c>
      <c r="B51" s="1524" t="s">
        <v>360</v>
      </c>
      <c r="C51" s="1524" t="s">
        <v>361</v>
      </c>
      <c r="D51" s="264" t="s">
        <v>398</v>
      </c>
      <c r="E51" s="264" t="s">
        <v>357</v>
      </c>
      <c r="F51" s="508" t="s">
        <v>1611</v>
      </c>
      <c r="G51" s="1524" t="s">
        <v>48</v>
      </c>
      <c r="H51" s="1524" t="s">
        <v>126</v>
      </c>
    </row>
    <row r="52" spans="1:8" ht="12.75" thickBot="1" x14ac:dyDescent="0.25">
      <c r="A52" s="1525"/>
      <c r="B52" s="1525"/>
      <c r="C52" s="1525"/>
      <c r="D52" s="265" t="s">
        <v>356</v>
      </c>
      <c r="E52" s="265" t="s">
        <v>356</v>
      </c>
      <c r="F52" s="265" t="s">
        <v>356</v>
      </c>
      <c r="G52" s="1526"/>
      <c r="H52" s="1526"/>
    </row>
    <row r="53" spans="1:8" ht="36" x14ac:dyDescent="0.2">
      <c r="A53" s="676" t="s">
        <v>4352</v>
      </c>
      <c r="B53" s="676">
        <v>20600170172</v>
      </c>
      <c r="C53" s="676" t="s">
        <v>103</v>
      </c>
      <c r="D53" s="487">
        <v>0</v>
      </c>
      <c r="E53" s="1384">
        <v>11130</v>
      </c>
      <c r="F53" s="1385">
        <v>11130</v>
      </c>
      <c r="G53" s="1386" t="s">
        <v>4353</v>
      </c>
      <c r="H53" s="492" t="s">
        <v>4354</v>
      </c>
    </row>
    <row r="54" spans="1:8" x14ac:dyDescent="0.2">
      <c r="A54" s="676">
        <v>2</v>
      </c>
      <c r="B54" s="676" t="s">
        <v>103</v>
      </c>
      <c r="C54" s="676" t="s">
        <v>103</v>
      </c>
      <c r="D54" s="487"/>
      <c r="E54" s="490"/>
      <c r="F54" s="488"/>
      <c r="G54" s="492"/>
      <c r="H54" s="492"/>
    </row>
    <row r="55" spans="1:8" x14ac:dyDescent="0.2">
      <c r="A55" s="676">
        <v>3</v>
      </c>
      <c r="B55" s="676" t="s">
        <v>103</v>
      </c>
      <c r="C55" s="676" t="s">
        <v>103</v>
      </c>
      <c r="D55" s="487"/>
      <c r="E55" s="490"/>
      <c r="F55" s="488"/>
      <c r="G55" s="492"/>
      <c r="H55" s="492"/>
    </row>
    <row r="56" spans="1:8" x14ac:dyDescent="0.2">
      <c r="A56" s="676">
        <v>4</v>
      </c>
      <c r="B56" s="676" t="s">
        <v>103</v>
      </c>
      <c r="C56" s="676" t="s">
        <v>103</v>
      </c>
      <c r="D56" s="487"/>
      <c r="E56" s="490"/>
      <c r="F56" s="488"/>
      <c r="G56" s="492"/>
      <c r="H56" s="492"/>
    </row>
    <row r="57" spans="1:8" x14ac:dyDescent="0.2">
      <c r="A57" s="676">
        <v>5</v>
      </c>
      <c r="B57" s="676" t="s">
        <v>103</v>
      </c>
      <c r="C57" s="676" t="s">
        <v>103</v>
      </c>
      <c r="D57" s="487"/>
      <c r="E57" s="490"/>
      <c r="F57" s="488"/>
      <c r="G57" s="492"/>
      <c r="H57" s="492"/>
    </row>
    <row r="58" spans="1:8" x14ac:dyDescent="0.2">
      <c r="A58" s="676">
        <v>6</v>
      </c>
      <c r="B58" s="676"/>
      <c r="C58" s="676"/>
      <c r="D58" s="487"/>
      <c r="E58" s="490"/>
      <c r="F58" s="488"/>
      <c r="G58" s="492"/>
      <c r="H58" s="492"/>
    </row>
    <row r="59" spans="1:8" x14ac:dyDescent="0.2">
      <c r="A59" s="676">
        <v>7</v>
      </c>
      <c r="B59" s="676"/>
      <c r="C59" s="676"/>
      <c r="D59" s="487"/>
      <c r="E59" s="490"/>
      <c r="F59" s="488"/>
      <c r="G59" s="492"/>
      <c r="H59" s="492"/>
    </row>
    <row r="60" spans="1:8" x14ac:dyDescent="0.2">
      <c r="A60" s="676">
        <v>8</v>
      </c>
      <c r="B60" s="676"/>
      <c r="C60" s="676"/>
      <c r="D60" s="487"/>
      <c r="E60" s="490"/>
      <c r="F60" s="488"/>
      <c r="G60" s="492"/>
      <c r="H60" s="492"/>
    </row>
    <row r="61" spans="1:8" x14ac:dyDescent="0.2">
      <c r="A61" s="676">
        <v>9</v>
      </c>
      <c r="B61" s="676"/>
      <c r="C61" s="676"/>
      <c r="D61" s="487"/>
      <c r="E61" s="490"/>
      <c r="F61" s="488"/>
      <c r="G61" s="492"/>
      <c r="H61" s="492"/>
    </row>
    <row r="62" spans="1:8" x14ac:dyDescent="0.2">
      <c r="A62" s="676"/>
      <c r="B62" s="676"/>
      <c r="C62" s="676"/>
      <c r="D62" s="487"/>
      <c r="E62" s="490"/>
      <c r="F62" s="488"/>
      <c r="G62" s="492"/>
      <c r="H62" s="492"/>
    </row>
    <row r="63" spans="1:8" ht="12.75" thickBot="1" x14ac:dyDescent="0.25">
      <c r="A63" s="82"/>
      <c r="B63" s="82"/>
      <c r="C63" s="82"/>
      <c r="D63" s="37"/>
      <c r="E63" s="28"/>
      <c r="F63" s="358"/>
      <c r="G63" s="40"/>
      <c r="H63" s="40"/>
    </row>
    <row r="64" spans="1:8" ht="12.75" thickBot="1" x14ac:dyDescent="0.25">
      <c r="A64" s="132" t="s">
        <v>34</v>
      </c>
      <c r="B64" s="57"/>
      <c r="C64" s="57"/>
      <c r="D64" s="42">
        <f>SUM(D53:D63)</f>
        <v>0</v>
      </c>
      <c r="E64" s="471">
        <f t="shared" ref="E64:F64" si="0">SUM(E53:E63)</f>
        <v>11130</v>
      </c>
      <c r="F64" s="471">
        <f t="shared" si="0"/>
        <v>11130</v>
      </c>
      <c r="G64" s="45"/>
      <c r="H64" s="45"/>
    </row>
    <row r="65" spans="1:8" x14ac:dyDescent="0.2">
      <c r="A65" s="563"/>
      <c r="B65" s="563"/>
      <c r="C65" s="563"/>
      <c r="D65" s="490"/>
      <c r="E65" s="490"/>
      <c r="F65" s="490"/>
      <c r="G65" s="162"/>
      <c r="H65" s="162"/>
    </row>
    <row r="66" spans="1:8" x14ac:dyDescent="0.2">
      <c r="A66" s="675" t="s">
        <v>49</v>
      </c>
      <c r="B66" s="675"/>
      <c r="C66" s="675"/>
      <c r="D66" s="490"/>
      <c r="E66" s="490"/>
      <c r="F66" s="490"/>
      <c r="G66" s="162"/>
      <c r="H66" s="162"/>
    </row>
    <row r="67" spans="1:8" x14ac:dyDescent="0.2">
      <c r="A67" s="574" t="s">
        <v>127</v>
      </c>
      <c r="B67" s="574"/>
      <c r="C67" s="574"/>
      <c r="D67" s="490"/>
      <c r="E67" s="490"/>
      <c r="F67" s="490"/>
      <c r="G67" s="162"/>
      <c r="H67" s="162"/>
    </row>
  </sheetData>
  <mergeCells count="15">
    <mergeCell ref="A51:A52"/>
    <mergeCell ref="B51:B52"/>
    <mergeCell ref="C51:C52"/>
    <mergeCell ref="G51:G52"/>
    <mergeCell ref="H51:H52"/>
    <mergeCell ref="A31:A32"/>
    <mergeCell ref="B31:B32"/>
    <mergeCell ref="C31:C32"/>
    <mergeCell ref="G31:G32"/>
    <mergeCell ref="H31:H32"/>
    <mergeCell ref="B4:B5"/>
    <mergeCell ref="H4:H5"/>
    <mergeCell ref="A4:A5"/>
    <mergeCell ref="G4:G5"/>
    <mergeCell ref="C4:C5"/>
  </mergeCells>
  <phoneticPr fontId="0" type="noConversion"/>
  <printOptions horizontalCentered="1"/>
  <pageMargins left="0.25" right="0.29950980392156862" top="0.75" bottom="0.75" header="0.3" footer="0.3"/>
  <pageSetup paperSize="9" scale="49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  <pageSetUpPr fitToPage="1"/>
  </sheetPr>
  <dimension ref="A1:V246"/>
  <sheetViews>
    <sheetView view="pageLayout" topLeftCell="A201" zoomScale="85" zoomScaleNormal="100" zoomScaleSheetLayoutView="100" zoomScalePageLayoutView="85" workbookViewId="0">
      <selection activeCell="A94" sqref="A94:W128"/>
    </sheetView>
  </sheetViews>
  <sheetFormatPr baseColWidth="10" defaultColWidth="11.42578125" defaultRowHeight="12" x14ac:dyDescent="0.2"/>
  <cols>
    <col min="1" max="1" width="42" style="359" bestFit="1" customWidth="1"/>
    <col min="2" max="2" width="23.5703125" style="359" customWidth="1"/>
    <col min="3" max="3" width="35.42578125" style="359" customWidth="1"/>
    <col min="4" max="8" width="15.5703125" style="359" customWidth="1"/>
    <col min="9" max="16384" width="11.42578125" style="359"/>
  </cols>
  <sheetData>
    <row r="1" spans="1:22" s="369" customFormat="1" ht="15.75" x14ac:dyDescent="0.25">
      <c r="A1" s="371" t="s">
        <v>433</v>
      </c>
      <c r="B1" s="370"/>
      <c r="C1" s="370"/>
      <c r="D1" s="370"/>
      <c r="E1" s="370"/>
      <c r="F1" s="370"/>
      <c r="G1" s="370"/>
      <c r="H1" s="370"/>
    </row>
    <row r="2" spans="1:22" s="368" customFormat="1" ht="15.75" x14ac:dyDescent="0.2">
      <c r="A2" s="173" t="s">
        <v>460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ht="12.75" thickBot="1" x14ac:dyDescent="0.25">
      <c r="A3" s="15" t="s">
        <v>1354</v>
      </c>
    </row>
    <row r="4" spans="1:22" ht="12.75" thickBot="1" x14ac:dyDescent="0.25">
      <c r="A4" s="1529" t="s">
        <v>369</v>
      </c>
      <c r="B4" s="1529" t="s">
        <v>105</v>
      </c>
      <c r="C4" s="1527" t="s">
        <v>368</v>
      </c>
      <c r="D4" s="1528"/>
      <c r="E4" s="1528"/>
      <c r="F4" s="1528"/>
      <c r="G4" s="1528"/>
      <c r="H4" s="1528"/>
    </row>
    <row r="5" spans="1:22" s="363" customFormat="1" ht="13.5" customHeight="1" thickBot="1" x14ac:dyDescent="0.25">
      <c r="A5" s="1530"/>
      <c r="B5" s="1530"/>
      <c r="C5" s="367" t="s">
        <v>367</v>
      </c>
      <c r="D5" s="366" t="s">
        <v>366</v>
      </c>
      <c r="E5" s="365" t="s">
        <v>365</v>
      </c>
      <c r="F5" s="364" t="s">
        <v>364</v>
      </c>
      <c r="G5" s="364" t="s">
        <v>1393</v>
      </c>
      <c r="H5" s="364" t="s">
        <v>1394</v>
      </c>
    </row>
    <row r="6" spans="1:22" ht="15" x14ac:dyDescent="0.25">
      <c r="A6" s="520"/>
      <c r="B6" s="521">
        <v>1028</v>
      </c>
      <c r="C6" s="522"/>
      <c r="D6" s="523"/>
      <c r="E6" s="524"/>
      <c r="F6" s="525"/>
      <c r="G6" s="526"/>
      <c r="H6" s="526"/>
    </row>
    <row r="7" spans="1:22" ht="15" x14ac:dyDescent="0.25">
      <c r="A7" s="527" t="s">
        <v>35</v>
      </c>
      <c r="B7" s="527"/>
      <c r="C7" s="528" t="s">
        <v>1355</v>
      </c>
      <c r="D7" s="529" t="s">
        <v>1356</v>
      </c>
      <c r="E7" s="530">
        <v>2005</v>
      </c>
      <c r="F7" s="531" t="s">
        <v>1357</v>
      </c>
      <c r="G7" s="532">
        <v>0</v>
      </c>
      <c r="H7" s="532">
        <v>0</v>
      </c>
    </row>
    <row r="8" spans="1:22" ht="15" x14ac:dyDescent="0.25">
      <c r="A8" s="527"/>
      <c r="B8" s="527"/>
      <c r="C8" s="533"/>
      <c r="D8" s="523"/>
      <c r="E8" s="524"/>
      <c r="F8" s="525"/>
      <c r="G8" s="532"/>
      <c r="H8" s="532"/>
    </row>
    <row r="9" spans="1:22" ht="15" x14ac:dyDescent="0.25">
      <c r="A9" s="527" t="s">
        <v>36</v>
      </c>
      <c r="B9" s="527"/>
      <c r="C9" s="533"/>
      <c r="D9" s="523"/>
      <c r="E9" s="524"/>
      <c r="F9" s="525"/>
      <c r="G9" s="532"/>
      <c r="H9" s="532"/>
    </row>
    <row r="10" spans="1:22" ht="15" x14ac:dyDescent="0.25">
      <c r="A10" s="534" t="s">
        <v>1358</v>
      </c>
      <c r="B10" s="531"/>
      <c r="C10" s="528" t="s">
        <v>1355</v>
      </c>
      <c r="D10" s="529" t="s">
        <v>1359</v>
      </c>
      <c r="E10" s="530">
        <v>2001</v>
      </c>
      <c r="F10" s="531" t="s">
        <v>1357</v>
      </c>
      <c r="G10" s="535">
        <v>3110602.73</v>
      </c>
      <c r="H10" s="535">
        <v>2425644.2599999998</v>
      </c>
    </row>
    <row r="11" spans="1:22" ht="15" x14ac:dyDescent="0.25">
      <c r="A11" s="534" t="s">
        <v>1360</v>
      </c>
      <c r="B11" s="531"/>
      <c r="C11" s="528" t="s">
        <v>1355</v>
      </c>
      <c r="D11" s="529" t="s">
        <v>1361</v>
      </c>
      <c r="E11" s="530">
        <v>2008</v>
      </c>
      <c r="F11" s="531" t="s">
        <v>1357</v>
      </c>
      <c r="G11" s="535">
        <v>3975862.8</v>
      </c>
      <c r="H11" s="535">
        <v>4685141.16</v>
      </c>
    </row>
    <row r="12" spans="1:22" ht="15" x14ac:dyDescent="0.25">
      <c r="A12" s="527"/>
      <c r="B12" s="527"/>
      <c r="C12" s="533"/>
      <c r="D12" s="523"/>
      <c r="E12" s="524"/>
      <c r="F12" s="525"/>
      <c r="G12" s="532"/>
      <c r="H12" s="532"/>
    </row>
    <row r="13" spans="1:22" ht="15" x14ac:dyDescent="0.25">
      <c r="A13" s="527"/>
      <c r="B13" s="527"/>
      <c r="C13" s="533"/>
      <c r="D13" s="523"/>
      <c r="E13" s="524"/>
      <c r="F13" s="525"/>
      <c r="G13" s="532"/>
      <c r="H13" s="532"/>
    </row>
    <row r="14" spans="1:22" ht="15" x14ac:dyDescent="0.25">
      <c r="A14" s="527" t="s">
        <v>37</v>
      </c>
      <c r="B14" s="527"/>
      <c r="C14" s="533"/>
      <c r="D14" s="523"/>
      <c r="E14" s="524"/>
      <c r="F14" s="525"/>
      <c r="G14" s="532"/>
      <c r="H14" s="532"/>
    </row>
    <row r="15" spans="1:22" ht="15" x14ac:dyDescent="0.25">
      <c r="A15" s="527" t="s">
        <v>363</v>
      </c>
      <c r="B15" s="527"/>
      <c r="C15" s="528" t="s">
        <v>1355</v>
      </c>
      <c r="D15" s="529" t="s">
        <v>1362</v>
      </c>
      <c r="E15" s="530">
        <v>2012</v>
      </c>
      <c r="F15" s="531" t="s">
        <v>1357</v>
      </c>
      <c r="G15" s="532">
        <v>24484.62</v>
      </c>
      <c r="H15" s="532">
        <v>24484.62</v>
      </c>
    </row>
    <row r="16" spans="1:22" ht="15" x14ac:dyDescent="0.25">
      <c r="A16" s="527"/>
      <c r="B16" s="527"/>
      <c r="C16" s="533"/>
      <c r="D16" s="523"/>
      <c r="E16" s="524"/>
      <c r="F16" s="525"/>
      <c r="G16" s="532"/>
      <c r="H16" s="532"/>
    </row>
    <row r="17" spans="1:8" ht="15" x14ac:dyDescent="0.25">
      <c r="A17" s="527" t="s">
        <v>38</v>
      </c>
      <c r="B17" s="527"/>
      <c r="C17" s="533"/>
      <c r="D17" s="523"/>
      <c r="E17" s="524"/>
      <c r="F17" s="525"/>
      <c r="G17" s="532"/>
      <c r="H17" s="532"/>
    </row>
    <row r="18" spans="1:8" ht="15" x14ac:dyDescent="0.25">
      <c r="A18" s="534" t="s">
        <v>1363</v>
      </c>
      <c r="B18" s="531"/>
      <c r="C18" s="528" t="s">
        <v>1355</v>
      </c>
      <c r="D18" s="529" t="s">
        <v>1364</v>
      </c>
      <c r="E18" s="530">
        <v>2004</v>
      </c>
      <c r="F18" s="531" t="s">
        <v>1357</v>
      </c>
      <c r="G18" s="535">
        <v>77815.95</v>
      </c>
      <c r="H18" s="532">
        <v>77815.95</v>
      </c>
    </row>
    <row r="19" spans="1:8" ht="15" x14ac:dyDescent="0.25">
      <c r="A19" s="534" t="s">
        <v>1365</v>
      </c>
      <c r="B19" s="531"/>
      <c r="C19" s="528" t="s">
        <v>1355</v>
      </c>
      <c r="D19" s="529" t="s">
        <v>1366</v>
      </c>
      <c r="E19" s="530">
        <v>2004</v>
      </c>
      <c r="F19" s="531" t="s">
        <v>1357</v>
      </c>
      <c r="G19" s="535">
        <v>4123.9799999999996</v>
      </c>
      <c r="H19" s="535">
        <v>4123.9799999999996</v>
      </c>
    </row>
    <row r="20" spans="1:8" ht="15" x14ac:dyDescent="0.25">
      <c r="A20" s="534" t="s">
        <v>1367</v>
      </c>
      <c r="B20" s="531"/>
      <c r="C20" s="528" t="s">
        <v>1355</v>
      </c>
      <c r="D20" s="529" t="s">
        <v>1368</v>
      </c>
      <c r="E20" s="530">
        <v>2004</v>
      </c>
      <c r="F20" s="531" t="s">
        <v>1357</v>
      </c>
      <c r="G20" s="535">
        <v>771311.59</v>
      </c>
      <c r="H20" s="532">
        <v>771311.59</v>
      </c>
    </row>
    <row r="21" spans="1:8" ht="15" x14ac:dyDescent="0.25">
      <c r="A21" s="534" t="s">
        <v>1369</v>
      </c>
      <c r="B21" s="531"/>
      <c r="C21" s="528" t="s">
        <v>1355</v>
      </c>
      <c r="D21" s="529" t="s">
        <v>1370</v>
      </c>
      <c r="E21" s="530">
        <v>2007</v>
      </c>
      <c r="F21" s="531" t="s">
        <v>1357</v>
      </c>
      <c r="G21" s="535">
        <v>779.93</v>
      </c>
      <c r="H21" s="532">
        <v>779.93</v>
      </c>
    </row>
    <row r="22" spans="1:8" ht="15" x14ac:dyDescent="0.25">
      <c r="A22" s="527"/>
      <c r="B22" s="527"/>
      <c r="C22" s="533"/>
      <c r="D22" s="523"/>
      <c r="E22" s="524"/>
      <c r="F22" s="525"/>
      <c r="G22" s="532"/>
      <c r="H22" s="532"/>
    </row>
    <row r="23" spans="1:8" ht="15" x14ac:dyDescent="0.25">
      <c r="A23" s="527" t="s">
        <v>39</v>
      </c>
      <c r="B23" s="527"/>
      <c r="C23" s="533"/>
      <c r="D23" s="523"/>
      <c r="E23" s="524"/>
      <c r="F23" s="525"/>
      <c r="G23" s="532"/>
      <c r="H23" s="532"/>
    </row>
    <row r="24" spans="1:8" ht="15" x14ac:dyDescent="0.25">
      <c r="A24" s="527"/>
      <c r="B24" s="527"/>
      <c r="C24" s="533"/>
      <c r="D24" s="523"/>
      <c r="E24" s="524"/>
      <c r="F24" s="525"/>
      <c r="G24" s="532"/>
      <c r="H24" s="532"/>
    </row>
    <row r="25" spans="1:8" ht="15" x14ac:dyDescent="0.25">
      <c r="A25" s="527" t="s">
        <v>43</v>
      </c>
      <c r="B25" s="527"/>
      <c r="C25" s="533"/>
      <c r="D25" s="523"/>
      <c r="E25" s="524"/>
      <c r="F25" s="525"/>
      <c r="G25" s="532"/>
      <c r="H25" s="532"/>
    </row>
    <row r="26" spans="1:8" ht="15" x14ac:dyDescent="0.25">
      <c r="A26" s="527" t="s">
        <v>44</v>
      </c>
      <c r="B26" s="527"/>
      <c r="C26" s="533"/>
      <c r="D26" s="523"/>
      <c r="E26" s="524"/>
      <c r="F26" s="525"/>
      <c r="G26" s="532"/>
      <c r="H26" s="532"/>
    </row>
    <row r="27" spans="1:8" ht="15" x14ac:dyDescent="0.25">
      <c r="A27" s="527" t="s">
        <v>1371</v>
      </c>
      <c r="B27" s="527"/>
      <c r="C27" s="536" t="s">
        <v>1355</v>
      </c>
      <c r="D27" s="537" t="s">
        <v>1356</v>
      </c>
      <c r="E27" s="530">
        <v>2008</v>
      </c>
      <c r="F27" s="538" t="s">
        <v>1357</v>
      </c>
      <c r="G27" s="532">
        <v>9204.52</v>
      </c>
      <c r="H27" s="532">
        <v>9259.73</v>
      </c>
    </row>
    <row r="28" spans="1:8" ht="15" x14ac:dyDescent="0.25">
      <c r="A28" s="527" t="s">
        <v>1372</v>
      </c>
      <c r="B28" s="527"/>
      <c r="C28" s="536" t="s">
        <v>1355</v>
      </c>
      <c r="D28" s="537" t="s">
        <v>1356</v>
      </c>
      <c r="E28" s="530">
        <v>2008</v>
      </c>
      <c r="F28" s="538" t="s">
        <v>1357</v>
      </c>
      <c r="G28" s="532">
        <v>3432241.91</v>
      </c>
      <c r="H28" s="532">
        <v>5481191</v>
      </c>
    </row>
    <row r="29" spans="1:8" ht="15" x14ac:dyDescent="0.25">
      <c r="A29" s="527" t="s">
        <v>1373</v>
      </c>
      <c r="B29" s="527"/>
      <c r="C29" s="536" t="s">
        <v>1355</v>
      </c>
      <c r="D29" s="537" t="s">
        <v>1356</v>
      </c>
      <c r="E29" s="530">
        <v>2008</v>
      </c>
      <c r="F29" s="538" t="s">
        <v>1357</v>
      </c>
      <c r="G29" s="532">
        <v>3525513.65</v>
      </c>
      <c r="H29" s="532">
        <v>3639305.56</v>
      </c>
    </row>
    <row r="30" spans="1:8" ht="15" x14ac:dyDescent="0.25">
      <c r="A30" s="527" t="s">
        <v>1374</v>
      </c>
      <c r="B30" s="527"/>
      <c r="C30" s="536" t="s">
        <v>1375</v>
      </c>
      <c r="D30" s="537" t="s">
        <v>1376</v>
      </c>
      <c r="E30" s="530">
        <v>2007</v>
      </c>
      <c r="F30" s="538" t="s">
        <v>1357</v>
      </c>
      <c r="G30" s="532">
        <v>596142.94999999995</v>
      </c>
      <c r="H30" s="532">
        <v>472837.16</v>
      </c>
    </row>
    <row r="31" spans="1:8" ht="15" x14ac:dyDescent="0.25">
      <c r="A31" s="527" t="s">
        <v>1377</v>
      </c>
      <c r="B31" s="527"/>
      <c r="C31" s="536" t="s">
        <v>1355</v>
      </c>
      <c r="D31" s="537" t="s">
        <v>1378</v>
      </c>
      <c r="E31" s="530">
        <v>2007</v>
      </c>
      <c r="F31" s="538" t="s">
        <v>1357</v>
      </c>
      <c r="G31" s="532">
        <v>206539.08</v>
      </c>
      <c r="H31" s="532">
        <v>206695.6</v>
      </c>
    </row>
    <row r="32" spans="1:8" ht="15" x14ac:dyDescent="0.25">
      <c r="A32" s="527" t="s">
        <v>1379</v>
      </c>
      <c r="B32" s="527"/>
      <c r="C32" s="536" t="s">
        <v>1355</v>
      </c>
      <c r="D32" s="537" t="s">
        <v>1356</v>
      </c>
      <c r="E32" s="530">
        <v>2008</v>
      </c>
      <c r="F32" s="538" t="s">
        <v>1357</v>
      </c>
      <c r="G32" s="532">
        <v>100998084.88</v>
      </c>
      <c r="H32" s="532">
        <v>121709594.05</v>
      </c>
    </row>
    <row r="33" spans="1:8" ht="15" x14ac:dyDescent="0.25">
      <c r="A33" s="527" t="s">
        <v>1380</v>
      </c>
      <c r="B33" s="527"/>
      <c r="C33" s="536" t="s">
        <v>1355</v>
      </c>
      <c r="D33" s="537" t="s">
        <v>1356</v>
      </c>
      <c r="E33" s="530">
        <v>2008</v>
      </c>
      <c r="F33" s="538" t="s">
        <v>1357</v>
      </c>
      <c r="G33" s="532">
        <v>0</v>
      </c>
      <c r="H33" s="532">
        <v>0</v>
      </c>
    </row>
    <row r="34" spans="1:8" ht="15" x14ac:dyDescent="0.25">
      <c r="A34" s="527" t="s">
        <v>1381</v>
      </c>
      <c r="B34" s="527"/>
      <c r="C34" s="536" t="s">
        <v>1355</v>
      </c>
      <c r="D34" s="537" t="s">
        <v>1356</v>
      </c>
      <c r="E34" s="530">
        <v>2008</v>
      </c>
      <c r="F34" s="538" t="s">
        <v>1357</v>
      </c>
      <c r="G34" s="532">
        <v>688006.53</v>
      </c>
      <c r="H34" s="532">
        <v>688006.53</v>
      </c>
    </row>
    <row r="35" spans="1:8" ht="15" x14ac:dyDescent="0.25">
      <c r="A35" s="527" t="s">
        <v>1382</v>
      </c>
      <c r="B35" s="527"/>
      <c r="C35" s="536" t="s">
        <v>1355</v>
      </c>
      <c r="D35" s="537" t="s">
        <v>1356</v>
      </c>
      <c r="E35" s="530">
        <v>2012</v>
      </c>
      <c r="F35" s="538" t="s">
        <v>1357</v>
      </c>
      <c r="G35" s="532">
        <v>5982.28</v>
      </c>
      <c r="H35" s="532">
        <v>5982.28</v>
      </c>
    </row>
    <row r="36" spans="1:8" ht="15" x14ac:dyDescent="0.25">
      <c r="A36" s="527" t="s">
        <v>1383</v>
      </c>
      <c r="B36" s="527"/>
      <c r="C36" s="536" t="s">
        <v>1355</v>
      </c>
      <c r="D36" s="537" t="s">
        <v>1356</v>
      </c>
      <c r="E36" s="530">
        <v>2011</v>
      </c>
      <c r="F36" s="538" t="s">
        <v>1357</v>
      </c>
      <c r="G36" s="532">
        <v>266540.86</v>
      </c>
      <c r="H36" s="532">
        <v>268140.25</v>
      </c>
    </row>
    <row r="37" spans="1:8" ht="15" x14ac:dyDescent="0.25">
      <c r="A37" s="527"/>
      <c r="B37" s="527"/>
      <c r="C37" s="533"/>
      <c r="D37" s="523"/>
      <c r="E37" s="530"/>
      <c r="F37" s="525"/>
      <c r="G37" s="532"/>
      <c r="H37" s="532"/>
    </row>
    <row r="38" spans="1:8" ht="15" x14ac:dyDescent="0.25">
      <c r="A38" s="527" t="s">
        <v>40</v>
      </c>
      <c r="B38" s="527"/>
      <c r="C38" s="533"/>
      <c r="D38" s="523"/>
      <c r="E38" s="524"/>
      <c r="F38" s="525"/>
      <c r="G38" s="532"/>
      <c r="H38" s="532"/>
    </row>
    <row r="39" spans="1:8" ht="15" x14ac:dyDescent="0.25">
      <c r="A39" s="527" t="s">
        <v>41</v>
      </c>
      <c r="B39" s="527"/>
      <c r="C39" s="533"/>
      <c r="D39" s="523"/>
      <c r="E39" s="524"/>
      <c r="F39" s="525"/>
      <c r="G39" s="532"/>
      <c r="H39" s="532"/>
    </row>
    <row r="40" spans="1:8" ht="15" x14ac:dyDescent="0.25">
      <c r="A40" s="527" t="s">
        <v>42</v>
      </c>
      <c r="B40" s="527"/>
      <c r="C40" s="533"/>
      <c r="D40" s="523"/>
      <c r="E40" s="524"/>
      <c r="F40" s="525"/>
      <c r="G40" s="532"/>
      <c r="H40" s="532"/>
    </row>
    <row r="41" spans="1:8" ht="15" x14ac:dyDescent="0.25">
      <c r="A41" s="527" t="s">
        <v>362</v>
      </c>
      <c r="B41" s="527"/>
      <c r="C41" s="533"/>
      <c r="D41" s="523"/>
      <c r="E41" s="524"/>
      <c r="F41" s="525"/>
      <c r="G41" s="532"/>
      <c r="H41" s="532"/>
    </row>
    <row r="42" spans="1:8" ht="15" x14ac:dyDescent="0.25">
      <c r="A42" s="539" t="s">
        <v>1384</v>
      </c>
      <c r="B42" s="531"/>
      <c r="C42" s="528" t="s">
        <v>1355</v>
      </c>
      <c r="D42" s="529" t="s">
        <v>1385</v>
      </c>
      <c r="E42" s="530">
        <v>2007</v>
      </c>
      <c r="F42" s="531" t="s">
        <v>1357</v>
      </c>
      <c r="G42" s="535">
        <v>254724.79</v>
      </c>
      <c r="H42" s="535">
        <v>861289.74</v>
      </c>
    </row>
    <row r="43" spans="1:8" ht="15" x14ac:dyDescent="0.25">
      <c r="A43" s="539" t="s">
        <v>1386</v>
      </c>
      <c r="B43" s="531"/>
      <c r="C43" s="528" t="s">
        <v>1355</v>
      </c>
      <c r="D43" s="529" t="s">
        <v>1387</v>
      </c>
      <c r="E43" s="530">
        <v>2007</v>
      </c>
      <c r="F43" s="531" t="s">
        <v>1357</v>
      </c>
      <c r="G43" s="535">
        <v>455157.87</v>
      </c>
      <c r="H43" s="535">
        <v>447220.95</v>
      </c>
    </row>
    <row r="44" spans="1:8" ht="15" x14ac:dyDescent="0.25">
      <c r="A44" s="539" t="s">
        <v>1388</v>
      </c>
      <c r="B44" s="531"/>
      <c r="C44" s="528" t="s">
        <v>1355</v>
      </c>
      <c r="D44" s="529" t="s">
        <v>1389</v>
      </c>
      <c r="E44" s="530">
        <v>2013</v>
      </c>
      <c r="F44" s="531" t="s">
        <v>1357</v>
      </c>
      <c r="G44" s="535">
        <v>124.94</v>
      </c>
      <c r="H44" s="535">
        <v>124.94</v>
      </c>
    </row>
    <row r="45" spans="1:8" ht="26.25" x14ac:dyDescent="0.25">
      <c r="A45" s="539" t="s">
        <v>1390</v>
      </c>
      <c r="B45" s="527"/>
      <c r="C45" s="528" t="s">
        <v>1355</v>
      </c>
      <c r="D45" s="529" t="s">
        <v>1391</v>
      </c>
      <c r="E45" s="530" t="s">
        <v>1392</v>
      </c>
      <c r="F45" s="531" t="s">
        <v>1357</v>
      </c>
      <c r="G45" s="532">
        <v>2165103.23</v>
      </c>
      <c r="H45" s="532">
        <v>2165103.23</v>
      </c>
    </row>
    <row r="46" spans="1:8" ht="15.75" thickBot="1" x14ac:dyDescent="0.3">
      <c r="A46" s="540"/>
      <c r="B46" s="540"/>
      <c r="C46" s="541"/>
      <c r="D46" s="542"/>
      <c r="E46" s="543"/>
      <c r="F46" s="540"/>
      <c r="G46" s="544"/>
      <c r="H46" s="544"/>
    </row>
    <row r="47" spans="1:8" ht="12.75" thickBot="1" x14ac:dyDescent="0.25">
      <c r="A47" s="362" t="s">
        <v>0</v>
      </c>
      <c r="B47" s="361"/>
      <c r="C47" s="360"/>
      <c r="D47" s="360"/>
      <c r="E47" s="360"/>
      <c r="F47" s="360"/>
      <c r="G47" s="545">
        <f>SUM(G7:G45)</f>
        <v>120568349.09</v>
      </c>
      <c r="H47" s="545">
        <f>SUM(H7:H45)</f>
        <v>143944052.50999999</v>
      </c>
    </row>
    <row r="48" spans="1:8" x14ac:dyDescent="0.2">
      <c r="A48" s="359" t="s">
        <v>434</v>
      </c>
    </row>
    <row r="49" spans="1:8" x14ac:dyDescent="0.2">
      <c r="A49" s="359" t="s">
        <v>435</v>
      </c>
    </row>
    <row r="52" spans="1:8" ht="15.75" x14ac:dyDescent="0.25">
      <c r="A52" s="679" t="s">
        <v>433</v>
      </c>
      <c r="B52" s="680"/>
      <c r="C52" s="680"/>
      <c r="D52" s="680"/>
      <c r="E52" s="681"/>
      <c r="F52" s="680"/>
      <c r="G52" s="680"/>
      <c r="H52" s="680"/>
    </row>
    <row r="53" spans="1:8" ht="15.75" x14ac:dyDescent="0.2">
      <c r="A53" s="173" t="s">
        <v>460</v>
      </c>
      <c r="B53" s="562"/>
      <c r="C53" s="562"/>
      <c r="D53" s="562"/>
      <c r="E53" s="682"/>
      <c r="F53" s="562"/>
      <c r="G53" s="562"/>
      <c r="H53" s="562"/>
    </row>
    <row r="54" spans="1:8" ht="12.75" thickBot="1" x14ac:dyDescent="0.25">
      <c r="A54" s="679" t="s">
        <v>1396</v>
      </c>
      <c r="E54" s="683"/>
    </row>
    <row r="55" spans="1:8" ht="12.75" thickBot="1" x14ac:dyDescent="0.25">
      <c r="A55" s="1529" t="s">
        <v>369</v>
      </c>
      <c r="B55" s="1529" t="s">
        <v>105</v>
      </c>
      <c r="C55" s="1527" t="s">
        <v>368</v>
      </c>
      <c r="D55" s="1528"/>
      <c r="E55" s="1528"/>
      <c r="F55" s="1528"/>
      <c r="G55" s="1528"/>
      <c r="H55" s="1528"/>
    </row>
    <row r="56" spans="1:8" ht="24.75" thickBot="1" x14ac:dyDescent="0.25">
      <c r="A56" s="1530"/>
      <c r="B56" s="1530"/>
      <c r="C56" s="367" t="s">
        <v>367</v>
      </c>
      <c r="D56" s="509" t="s">
        <v>366</v>
      </c>
      <c r="E56" s="684" t="s">
        <v>365</v>
      </c>
      <c r="F56" s="364" t="s">
        <v>364</v>
      </c>
      <c r="G56" s="364" t="s">
        <v>1393</v>
      </c>
      <c r="H56" s="364" t="s">
        <v>1394</v>
      </c>
    </row>
    <row r="57" spans="1:8" x14ac:dyDescent="0.2">
      <c r="A57" s="685"/>
      <c r="B57" s="686"/>
      <c r="C57" s="687"/>
      <c r="D57" s="688"/>
      <c r="E57" s="689"/>
      <c r="F57" s="690"/>
      <c r="G57" s="687"/>
      <c r="H57" s="687"/>
    </row>
    <row r="58" spans="1:8" x14ac:dyDescent="0.2">
      <c r="A58" s="691" t="s">
        <v>35</v>
      </c>
      <c r="B58" s="692" t="s">
        <v>1615</v>
      </c>
      <c r="C58" s="687" t="s">
        <v>1355</v>
      </c>
      <c r="D58" s="688" t="s">
        <v>1616</v>
      </c>
      <c r="E58" s="689">
        <v>2009</v>
      </c>
      <c r="F58" s="690" t="s">
        <v>1617</v>
      </c>
      <c r="G58" s="687">
        <v>0</v>
      </c>
      <c r="H58" s="687">
        <v>0</v>
      </c>
    </row>
    <row r="59" spans="1:8" x14ac:dyDescent="0.2">
      <c r="A59" s="691"/>
      <c r="B59" s="692"/>
      <c r="C59" s="687"/>
      <c r="D59" s="688"/>
      <c r="E59" s="689"/>
      <c r="F59" s="690"/>
      <c r="G59" s="687"/>
      <c r="H59" s="687"/>
    </row>
    <row r="60" spans="1:8" x14ac:dyDescent="0.2">
      <c r="A60" s="691" t="s">
        <v>36</v>
      </c>
      <c r="B60" s="692" t="s">
        <v>1615</v>
      </c>
      <c r="C60" s="687" t="s">
        <v>1355</v>
      </c>
      <c r="D60" s="688" t="s">
        <v>1618</v>
      </c>
      <c r="E60" s="689">
        <v>2009</v>
      </c>
      <c r="F60" s="690" t="s">
        <v>1617</v>
      </c>
      <c r="G60" s="687">
        <v>242485.44</v>
      </c>
      <c r="H60" s="687">
        <v>83672.5</v>
      </c>
    </row>
    <row r="61" spans="1:8" x14ac:dyDescent="0.2">
      <c r="A61" s="691" t="s">
        <v>1619</v>
      </c>
      <c r="B61" s="692" t="s">
        <v>1615</v>
      </c>
      <c r="C61" s="687" t="s">
        <v>1355</v>
      </c>
      <c r="D61" s="688" t="s">
        <v>1620</v>
      </c>
      <c r="E61" s="689">
        <v>2009</v>
      </c>
      <c r="F61" s="690" t="s">
        <v>1617</v>
      </c>
      <c r="G61" s="687">
        <v>2144772.3199999998</v>
      </c>
      <c r="H61" s="687">
        <v>2574805.92</v>
      </c>
    </row>
    <row r="62" spans="1:8" x14ac:dyDescent="0.2">
      <c r="A62" s="691" t="s">
        <v>1621</v>
      </c>
      <c r="B62" s="692" t="s">
        <v>1615</v>
      </c>
      <c r="C62" s="687" t="s">
        <v>1355</v>
      </c>
      <c r="D62" s="688" t="s">
        <v>1622</v>
      </c>
      <c r="E62" s="689">
        <v>2009</v>
      </c>
      <c r="F62" s="690" t="s">
        <v>1617</v>
      </c>
      <c r="G62" s="687">
        <v>82853.38</v>
      </c>
      <c r="H62" s="687">
        <v>146598.43</v>
      </c>
    </row>
    <row r="63" spans="1:8" x14ac:dyDescent="0.2">
      <c r="A63" s="691"/>
      <c r="B63" s="692"/>
      <c r="C63" s="687"/>
      <c r="D63" s="688"/>
      <c r="E63" s="689"/>
      <c r="F63" s="690"/>
      <c r="G63" s="687"/>
      <c r="H63" s="687"/>
    </row>
    <row r="64" spans="1:8" x14ac:dyDescent="0.2">
      <c r="A64" s="691" t="s">
        <v>37</v>
      </c>
      <c r="B64" s="692"/>
      <c r="C64" s="687"/>
      <c r="D64" s="688"/>
      <c r="E64" s="689"/>
      <c r="F64" s="690"/>
      <c r="G64" s="687"/>
      <c r="H64" s="687"/>
    </row>
    <row r="65" spans="1:8" x14ac:dyDescent="0.2">
      <c r="A65" s="691" t="s">
        <v>1623</v>
      </c>
      <c r="B65" s="692" t="s">
        <v>1615</v>
      </c>
      <c r="C65" s="687" t="s">
        <v>1355</v>
      </c>
      <c r="D65" s="688" t="s">
        <v>1616</v>
      </c>
      <c r="E65" s="689">
        <v>2015</v>
      </c>
      <c r="F65" s="690" t="s">
        <v>1617</v>
      </c>
      <c r="G65" s="687">
        <v>56778.79</v>
      </c>
      <c r="H65" s="687">
        <v>197967.39</v>
      </c>
    </row>
    <row r="66" spans="1:8" x14ac:dyDescent="0.2">
      <c r="A66" s="691"/>
      <c r="B66" s="692"/>
      <c r="C66" s="687"/>
      <c r="D66" s="688"/>
      <c r="E66" s="689"/>
      <c r="F66" s="690"/>
      <c r="G66" s="687"/>
      <c r="H66" s="687"/>
    </row>
    <row r="67" spans="1:8" x14ac:dyDescent="0.2">
      <c r="A67" s="691" t="s">
        <v>38</v>
      </c>
      <c r="B67" s="692" t="s">
        <v>1615</v>
      </c>
      <c r="C67" s="687" t="s">
        <v>1355</v>
      </c>
      <c r="D67" s="688" t="s">
        <v>1624</v>
      </c>
      <c r="E67" s="689">
        <v>2009</v>
      </c>
      <c r="F67" s="690" t="s">
        <v>1617</v>
      </c>
      <c r="G67" s="687">
        <v>335753.27</v>
      </c>
      <c r="H67" s="687">
        <v>335753.27</v>
      </c>
    </row>
    <row r="68" spans="1:8" x14ac:dyDescent="0.2">
      <c r="A68" s="691" t="s">
        <v>1625</v>
      </c>
      <c r="B68" s="692" t="s">
        <v>1615</v>
      </c>
      <c r="C68" s="687" t="s">
        <v>1355</v>
      </c>
      <c r="D68" s="688" t="s">
        <v>1626</v>
      </c>
      <c r="E68" s="689">
        <v>2014</v>
      </c>
      <c r="F68" s="690" t="s">
        <v>1617</v>
      </c>
      <c r="G68" s="687">
        <v>242834.57</v>
      </c>
      <c r="H68" s="687">
        <v>242834.57</v>
      </c>
    </row>
    <row r="69" spans="1:8" x14ac:dyDescent="0.2">
      <c r="A69" s="691" t="s">
        <v>1627</v>
      </c>
      <c r="B69" s="692" t="s">
        <v>1615</v>
      </c>
      <c r="C69" s="687" t="s">
        <v>1355</v>
      </c>
      <c r="D69" s="688" t="s">
        <v>1628</v>
      </c>
      <c r="E69" s="689">
        <v>2010</v>
      </c>
      <c r="F69" s="690" t="s">
        <v>1617</v>
      </c>
      <c r="G69" s="687">
        <v>100000</v>
      </c>
      <c r="H69" s="687">
        <v>100000</v>
      </c>
    </row>
    <row r="70" spans="1:8" x14ac:dyDescent="0.2">
      <c r="A70" s="691"/>
      <c r="B70" s="692"/>
      <c r="C70" s="687"/>
      <c r="D70" s="688"/>
      <c r="E70" s="689"/>
      <c r="F70" s="690"/>
      <c r="G70" s="687"/>
      <c r="H70" s="687"/>
    </row>
    <row r="71" spans="1:8" x14ac:dyDescent="0.2">
      <c r="A71" s="691" t="s">
        <v>39</v>
      </c>
      <c r="B71" s="692"/>
      <c r="C71" s="687"/>
      <c r="D71" s="688"/>
      <c r="E71" s="689"/>
      <c r="F71" s="690"/>
      <c r="G71" s="687"/>
      <c r="H71" s="687"/>
    </row>
    <row r="72" spans="1:8" x14ac:dyDescent="0.2">
      <c r="A72" s="691"/>
      <c r="B72" s="692"/>
      <c r="C72" s="687"/>
      <c r="D72" s="688"/>
      <c r="E72" s="689"/>
      <c r="F72" s="690"/>
      <c r="G72" s="687"/>
      <c r="H72" s="687"/>
    </row>
    <row r="73" spans="1:8" x14ac:dyDescent="0.2">
      <c r="A73" s="691" t="s">
        <v>43</v>
      </c>
      <c r="B73" s="692"/>
      <c r="C73" s="687"/>
      <c r="D73" s="688"/>
      <c r="E73" s="689"/>
      <c r="F73" s="690"/>
      <c r="G73" s="687"/>
      <c r="H73" s="687"/>
    </row>
    <row r="74" spans="1:8" x14ac:dyDescent="0.2">
      <c r="A74" s="691" t="s">
        <v>44</v>
      </c>
      <c r="B74" s="692"/>
      <c r="C74" s="687"/>
      <c r="D74" s="688"/>
      <c r="E74" s="689"/>
      <c r="F74" s="690"/>
      <c r="G74" s="687"/>
      <c r="H74" s="687"/>
    </row>
    <row r="75" spans="1:8" x14ac:dyDescent="0.2">
      <c r="A75" s="691" t="s">
        <v>1629</v>
      </c>
      <c r="B75" s="692" t="s">
        <v>1615</v>
      </c>
      <c r="C75" s="687" t="s">
        <v>1355</v>
      </c>
      <c r="D75" s="688" t="s">
        <v>1616</v>
      </c>
      <c r="E75" s="689">
        <v>2010</v>
      </c>
      <c r="F75" s="690" t="s">
        <v>1617</v>
      </c>
      <c r="G75" s="687">
        <v>1982118.68</v>
      </c>
      <c r="H75" s="687">
        <v>1546282.21</v>
      </c>
    </row>
    <row r="76" spans="1:8" x14ac:dyDescent="0.2">
      <c r="A76" s="691" t="s">
        <v>1630</v>
      </c>
      <c r="B76" s="692" t="s">
        <v>1615</v>
      </c>
      <c r="C76" s="687" t="s">
        <v>1355</v>
      </c>
      <c r="D76" s="688" t="s">
        <v>1616</v>
      </c>
      <c r="E76" s="689">
        <v>2015</v>
      </c>
      <c r="F76" s="690" t="s">
        <v>1617</v>
      </c>
      <c r="G76" s="687">
        <v>2099643.46</v>
      </c>
      <c r="H76" s="687">
        <v>1815793.07</v>
      </c>
    </row>
    <row r="77" spans="1:8" x14ac:dyDescent="0.2">
      <c r="A77" s="691" t="s">
        <v>40</v>
      </c>
      <c r="B77" s="692"/>
      <c r="C77" s="687"/>
      <c r="D77" s="688"/>
      <c r="E77" s="689"/>
      <c r="F77" s="690"/>
      <c r="G77" s="687"/>
      <c r="H77" s="687"/>
    </row>
    <row r="78" spans="1:8" x14ac:dyDescent="0.2">
      <c r="A78" s="691" t="s">
        <v>41</v>
      </c>
      <c r="B78" s="692"/>
      <c r="C78" s="687"/>
      <c r="D78" s="688"/>
      <c r="E78" s="689"/>
      <c r="F78" s="690"/>
      <c r="G78" s="687"/>
      <c r="H78" s="687"/>
    </row>
    <row r="79" spans="1:8" x14ac:dyDescent="0.2">
      <c r="A79" s="691" t="s">
        <v>42</v>
      </c>
      <c r="B79" s="692"/>
      <c r="C79" s="687"/>
      <c r="D79" s="688"/>
      <c r="E79" s="689"/>
      <c r="F79" s="690"/>
      <c r="G79" s="687"/>
      <c r="H79" s="687"/>
    </row>
    <row r="80" spans="1:8" x14ac:dyDescent="0.2">
      <c r="A80" s="691" t="s">
        <v>362</v>
      </c>
      <c r="B80" s="692"/>
      <c r="C80" s="687"/>
      <c r="D80" s="688"/>
      <c r="E80" s="689"/>
      <c r="F80" s="690"/>
      <c r="G80" s="687"/>
      <c r="H80" s="687"/>
    </row>
    <row r="81" spans="1:8" ht="12.75" thickBot="1" x14ac:dyDescent="0.25">
      <c r="A81" s="693"/>
      <c r="B81" s="694"/>
      <c r="C81" s="695"/>
      <c r="E81" s="689"/>
      <c r="F81" s="692"/>
      <c r="G81" s="695"/>
      <c r="H81" s="695"/>
    </row>
    <row r="82" spans="1:8" ht="12.75" thickBot="1" x14ac:dyDescent="0.25">
      <c r="A82" s="362" t="s">
        <v>0</v>
      </c>
      <c r="B82" s="361"/>
      <c r="C82" s="360"/>
      <c r="D82" s="360"/>
      <c r="E82" s="696"/>
      <c r="F82" s="360"/>
      <c r="G82" s="697">
        <f>SUM(G57:G81)</f>
        <v>7287239.9099999992</v>
      </c>
      <c r="H82" s="697">
        <f>SUM(H57:H81)</f>
        <v>7043707.3600000003</v>
      </c>
    </row>
    <row r="83" spans="1:8" x14ac:dyDescent="0.2">
      <c r="A83" s="359" t="s">
        <v>434</v>
      </c>
      <c r="E83" s="683"/>
    </row>
    <row r="84" spans="1:8" x14ac:dyDescent="0.2">
      <c r="A84" s="359" t="s">
        <v>435</v>
      </c>
      <c r="E84" s="683"/>
    </row>
    <row r="85" spans="1:8" x14ac:dyDescent="0.2">
      <c r="E85" s="683"/>
    </row>
    <row r="86" spans="1:8" ht="15.75" x14ac:dyDescent="0.25">
      <c r="A86" s="679" t="s">
        <v>433</v>
      </c>
      <c r="B86" s="680"/>
      <c r="C86" s="680"/>
      <c r="D86" s="680"/>
      <c r="E86" s="680"/>
      <c r="F86" s="680"/>
      <c r="G86" s="680"/>
      <c r="H86" s="680"/>
    </row>
    <row r="87" spans="1:8" ht="15.75" x14ac:dyDescent="0.2">
      <c r="A87" s="173" t="s">
        <v>460</v>
      </c>
      <c r="B87" s="562"/>
      <c r="C87" s="562"/>
      <c r="D87" s="562"/>
      <c r="E87" s="562"/>
      <c r="F87" s="562"/>
      <c r="G87" s="562"/>
      <c r="H87" s="562"/>
    </row>
    <row r="88" spans="1:8" ht="12.75" thickBot="1" x14ac:dyDescent="0.25">
      <c r="A88" s="15" t="s">
        <v>2087</v>
      </c>
    </row>
    <row r="89" spans="1:8" ht="12.75" thickBot="1" x14ac:dyDescent="0.25">
      <c r="A89" s="1529" t="s">
        <v>369</v>
      </c>
      <c r="B89" s="1529" t="s">
        <v>105</v>
      </c>
      <c r="C89" s="1527" t="s">
        <v>368</v>
      </c>
      <c r="D89" s="1528"/>
      <c r="E89" s="1528"/>
      <c r="F89" s="1528"/>
      <c r="G89" s="1528"/>
      <c r="H89" s="1528"/>
    </row>
    <row r="90" spans="1:8" ht="24.75" thickBot="1" x14ac:dyDescent="0.25">
      <c r="A90" s="1530"/>
      <c r="B90" s="1530"/>
      <c r="C90" s="367" t="s">
        <v>367</v>
      </c>
      <c r="D90" s="509" t="s">
        <v>366</v>
      </c>
      <c r="E90" s="365" t="s">
        <v>365</v>
      </c>
      <c r="F90" s="364" t="s">
        <v>364</v>
      </c>
      <c r="G90" s="364" t="s">
        <v>2200</v>
      </c>
      <c r="H90" s="364" t="s">
        <v>2201</v>
      </c>
    </row>
    <row r="91" spans="1:8" x14ac:dyDescent="0.2">
      <c r="A91" s="685"/>
      <c r="B91" s="815"/>
      <c r="C91" s="687"/>
      <c r="D91" s="688"/>
      <c r="E91" s="816"/>
      <c r="F91" s="687"/>
      <c r="G91" s="687"/>
      <c r="H91" s="687"/>
    </row>
    <row r="92" spans="1:8" x14ac:dyDescent="0.2">
      <c r="A92" s="691" t="s">
        <v>35</v>
      </c>
      <c r="B92" s="692">
        <v>1318</v>
      </c>
      <c r="C92" s="690" t="s">
        <v>1355</v>
      </c>
      <c r="D92" s="817" t="s">
        <v>2202</v>
      </c>
      <c r="E92" s="818">
        <v>2008</v>
      </c>
      <c r="F92" s="690" t="s">
        <v>1357</v>
      </c>
      <c r="G92" s="819">
        <v>0</v>
      </c>
      <c r="H92" s="819">
        <v>0</v>
      </c>
    </row>
    <row r="93" spans="1:8" x14ac:dyDescent="0.2">
      <c r="A93" s="691"/>
      <c r="B93" s="692"/>
      <c r="C93" s="690"/>
      <c r="D93" s="817"/>
      <c r="E93" s="818"/>
      <c r="F93" s="690"/>
      <c r="G93" s="687"/>
      <c r="H93" s="687"/>
    </row>
    <row r="94" spans="1:8" x14ac:dyDescent="0.2">
      <c r="A94" s="691" t="s">
        <v>36</v>
      </c>
      <c r="B94" s="692">
        <v>1318</v>
      </c>
      <c r="C94" s="690" t="s">
        <v>1355</v>
      </c>
      <c r="D94" s="817" t="s">
        <v>2203</v>
      </c>
      <c r="E94" s="818">
        <v>2008</v>
      </c>
      <c r="F94" s="690" t="s">
        <v>1357</v>
      </c>
      <c r="G94" s="819">
        <v>110037.12</v>
      </c>
      <c r="H94" s="819">
        <v>78193.289999999994</v>
      </c>
    </row>
    <row r="95" spans="1:8" x14ac:dyDescent="0.2">
      <c r="A95" s="691"/>
      <c r="B95" s="692"/>
      <c r="C95" s="690"/>
      <c r="D95" s="817"/>
      <c r="E95" s="818"/>
      <c r="F95" s="690"/>
      <c r="G95" s="687"/>
      <c r="H95" s="687"/>
    </row>
    <row r="96" spans="1:8" x14ac:dyDescent="0.2">
      <c r="A96" s="691" t="s">
        <v>37</v>
      </c>
      <c r="B96" s="692">
        <v>1318</v>
      </c>
      <c r="C96" s="690" t="s">
        <v>1355</v>
      </c>
      <c r="D96" s="817" t="s">
        <v>2202</v>
      </c>
      <c r="E96" s="818">
        <v>2018</v>
      </c>
      <c r="F96" s="690" t="s">
        <v>1357</v>
      </c>
      <c r="G96" s="819">
        <v>0</v>
      </c>
      <c r="H96" s="819">
        <v>0</v>
      </c>
    </row>
    <row r="97" spans="1:8" x14ac:dyDescent="0.2">
      <c r="A97" s="691" t="s">
        <v>363</v>
      </c>
      <c r="B97" s="692"/>
      <c r="C97" s="690"/>
      <c r="D97" s="817"/>
      <c r="E97" s="818"/>
      <c r="F97" s="690"/>
      <c r="G97" s="687"/>
      <c r="H97" s="687"/>
    </row>
    <row r="98" spans="1:8" x14ac:dyDescent="0.2">
      <c r="A98" s="691"/>
      <c r="B98" s="692"/>
      <c r="C98" s="690"/>
      <c r="D98" s="817"/>
      <c r="E98" s="818"/>
      <c r="F98" s="690"/>
      <c r="G98" s="687"/>
      <c r="H98" s="687"/>
    </row>
    <row r="99" spans="1:8" x14ac:dyDescent="0.2">
      <c r="A99" s="691" t="s">
        <v>38</v>
      </c>
      <c r="B99" s="692">
        <v>1318</v>
      </c>
      <c r="C99" s="690" t="s">
        <v>1355</v>
      </c>
      <c r="D99" s="817" t="s">
        <v>2204</v>
      </c>
      <c r="E99" s="818">
        <v>2008</v>
      </c>
      <c r="F99" s="690" t="s">
        <v>1357</v>
      </c>
      <c r="G99" s="819">
        <v>16505.419999999998</v>
      </c>
      <c r="H99" s="819">
        <v>16505.419999999998</v>
      </c>
    </row>
    <row r="100" spans="1:8" x14ac:dyDescent="0.2">
      <c r="A100" s="691"/>
      <c r="B100" s="692"/>
      <c r="C100" s="690"/>
      <c r="D100" s="817"/>
      <c r="E100" s="818"/>
      <c r="F100" s="690"/>
      <c r="G100" s="687"/>
      <c r="H100" s="687"/>
    </row>
    <row r="101" spans="1:8" x14ac:dyDescent="0.2">
      <c r="A101" s="691" t="s">
        <v>39</v>
      </c>
      <c r="B101" s="692">
        <v>1318</v>
      </c>
      <c r="C101" s="690" t="s">
        <v>1355</v>
      </c>
      <c r="D101" s="817" t="s">
        <v>2202</v>
      </c>
      <c r="E101" s="818">
        <v>2018</v>
      </c>
      <c r="F101" s="690" t="s">
        <v>1357</v>
      </c>
      <c r="G101" s="819">
        <v>0</v>
      </c>
      <c r="H101" s="819">
        <v>0</v>
      </c>
    </row>
    <row r="102" spans="1:8" x14ac:dyDescent="0.2">
      <c r="A102" s="691"/>
      <c r="B102" s="695"/>
      <c r="C102" s="687"/>
      <c r="D102" s="688"/>
      <c r="E102" s="816"/>
      <c r="F102" s="687"/>
      <c r="G102" s="687"/>
      <c r="H102" s="687"/>
    </row>
    <row r="103" spans="1:8" x14ac:dyDescent="0.2">
      <c r="A103" s="691" t="s">
        <v>43</v>
      </c>
      <c r="B103" s="695"/>
      <c r="C103" s="687"/>
      <c r="D103" s="688"/>
      <c r="E103" s="816"/>
      <c r="F103" s="687"/>
      <c r="G103" s="687"/>
      <c r="H103" s="687"/>
    </row>
    <row r="104" spans="1:8" x14ac:dyDescent="0.2">
      <c r="A104" s="691" t="s">
        <v>44</v>
      </c>
      <c r="B104" s="695"/>
      <c r="C104" s="687"/>
      <c r="D104" s="688"/>
      <c r="E104" s="816"/>
      <c r="F104" s="687"/>
      <c r="G104" s="687"/>
      <c r="H104" s="687"/>
    </row>
    <row r="105" spans="1:8" x14ac:dyDescent="0.2">
      <c r="A105" s="691" t="s">
        <v>40</v>
      </c>
      <c r="B105" s="695"/>
      <c r="C105" s="687"/>
      <c r="D105" s="688"/>
      <c r="E105" s="816"/>
      <c r="F105" s="687"/>
      <c r="G105" s="687"/>
      <c r="H105" s="687"/>
    </row>
    <row r="106" spans="1:8" x14ac:dyDescent="0.2">
      <c r="A106" s="691" t="s">
        <v>41</v>
      </c>
      <c r="B106" s="695"/>
      <c r="C106" s="687"/>
      <c r="D106" s="688"/>
      <c r="E106" s="816"/>
      <c r="F106" s="687"/>
      <c r="G106" s="687"/>
      <c r="H106" s="687"/>
    </row>
    <row r="107" spans="1:8" x14ac:dyDescent="0.2">
      <c r="A107" s="691" t="s">
        <v>42</v>
      </c>
      <c r="B107" s="695"/>
      <c r="C107" s="687"/>
      <c r="D107" s="688"/>
      <c r="E107" s="816"/>
      <c r="F107" s="687"/>
      <c r="G107" s="687"/>
      <c r="H107" s="687"/>
    </row>
    <row r="108" spans="1:8" x14ac:dyDescent="0.2">
      <c r="A108" s="691" t="s">
        <v>362</v>
      </c>
      <c r="B108" s="695"/>
      <c r="C108" s="687"/>
      <c r="D108" s="688"/>
      <c r="E108" s="816"/>
      <c r="F108" s="687"/>
      <c r="G108" s="687"/>
      <c r="H108" s="687"/>
    </row>
    <row r="109" spans="1:8" ht="12.75" thickBot="1" x14ac:dyDescent="0.25">
      <c r="A109" s="693"/>
      <c r="B109" s="694"/>
      <c r="C109" s="695"/>
      <c r="E109" s="691"/>
      <c r="F109" s="695"/>
      <c r="G109" s="695"/>
      <c r="H109" s="695"/>
    </row>
    <row r="110" spans="1:8" ht="12.75" thickBot="1" x14ac:dyDescent="0.25">
      <c r="A110" s="362" t="s">
        <v>0</v>
      </c>
      <c r="B110" s="361"/>
      <c r="C110" s="360"/>
      <c r="D110" s="360"/>
      <c r="E110" s="360"/>
      <c r="F110" s="360"/>
      <c r="G110" s="360"/>
      <c r="H110" s="820"/>
    </row>
    <row r="111" spans="1:8" x14ac:dyDescent="0.2">
      <c r="A111" s="359" t="s">
        <v>434</v>
      </c>
    </row>
    <row r="112" spans="1:8" x14ac:dyDescent="0.2">
      <c r="A112" s="359" t="s">
        <v>435</v>
      </c>
    </row>
    <row r="114" spans="1:8" ht="15.75" x14ac:dyDescent="0.25">
      <c r="A114" s="679" t="s">
        <v>433</v>
      </c>
      <c r="B114" s="1044"/>
      <c r="C114" s="680"/>
      <c r="D114" s="680"/>
      <c r="E114" s="1045"/>
      <c r="F114" s="680"/>
      <c r="G114" s="1045"/>
      <c r="H114" s="1045"/>
    </row>
    <row r="115" spans="1:8" ht="15.75" x14ac:dyDescent="0.2">
      <c r="A115" s="490" t="s">
        <v>460</v>
      </c>
      <c r="B115" s="682"/>
      <c r="C115" s="562"/>
      <c r="D115" s="562"/>
      <c r="E115" s="1046"/>
      <c r="F115" s="562"/>
      <c r="G115" s="1046"/>
      <c r="H115" s="1046"/>
    </row>
    <row r="116" spans="1:8" ht="12.75" thickBot="1" x14ac:dyDescent="0.25">
      <c r="A116" s="359" t="s">
        <v>2274</v>
      </c>
      <c r="B116" s="1047"/>
      <c r="E116" s="1048"/>
      <c r="G116" s="1048"/>
      <c r="H116" s="1048"/>
    </row>
    <row r="117" spans="1:8" ht="12.75" thickBot="1" x14ac:dyDescent="0.25">
      <c r="A117" s="1529" t="s">
        <v>369</v>
      </c>
      <c r="B117" s="1529" t="s">
        <v>105</v>
      </c>
      <c r="C117" s="1527" t="s">
        <v>368</v>
      </c>
      <c r="D117" s="1528"/>
      <c r="E117" s="1528"/>
      <c r="F117" s="1528"/>
      <c r="G117" s="1528"/>
      <c r="H117" s="1528"/>
    </row>
    <row r="118" spans="1:8" ht="24.75" thickBot="1" x14ac:dyDescent="0.25">
      <c r="A118" s="1530"/>
      <c r="B118" s="1530"/>
      <c r="C118" s="367" t="s">
        <v>367</v>
      </c>
      <c r="D118" s="509" t="s">
        <v>366</v>
      </c>
      <c r="E118" s="1049" t="s">
        <v>365</v>
      </c>
      <c r="F118" s="364" t="s">
        <v>364</v>
      </c>
      <c r="G118" s="1050" t="s">
        <v>1393</v>
      </c>
      <c r="H118" s="1050" t="s">
        <v>1394</v>
      </c>
    </row>
    <row r="119" spans="1:8" x14ac:dyDescent="0.2">
      <c r="A119" s="685"/>
      <c r="B119" s="686"/>
      <c r="C119" s="687"/>
      <c r="D119" s="688"/>
      <c r="E119" s="1051"/>
      <c r="F119" s="687"/>
      <c r="G119" s="1052"/>
      <c r="H119" s="1052"/>
    </row>
    <row r="120" spans="1:8" x14ac:dyDescent="0.2">
      <c r="A120" s="691" t="s">
        <v>35</v>
      </c>
      <c r="B120" s="692">
        <v>1452</v>
      </c>
      <c r="C120" s="687" t="s">
        <v>2316</v>
      </c>
      <c r="D120" s="688" t="s">
        <v>2317</v>
      </c>
      <c r="E120" s="1052">
        <v>2013</v>
      </c>
      <c r="F120" s="687" t="s">
        <v>2318</v>
      </c>
      <c r="G120" s="1052" t="s">
        <v>2319</v>
      </c>
      <c r="H120" s="1052" t="s">
        <v>2319</v>
      </c>
    </row>
    <row r="121" spans="1:8" x14ac:dyDescent="0.2">
      <c r="A121" s="691"/>
      <c r="B121" s="692"/>
      <c r="C121" s="687"/>
      <c r="D121" s="688"/>
      <c r="E121" s="1052"/>
      <c r="F121" s="687"/>
      <c r="G121" s="1052"/>
      <c r="H121" s="1052"/>
    </row>
    <row r="122" spans="1:8" x14ac:dyDescent="0.2">
      <c r="A122" s="691" t="s">
        <v>36</v>
      </c>
      <c r="B122" s="692">
        <v>1452</v>
      </c>
      <c r="C122" s="687" t="str">
        <f>+C120</f>
        <v xml:space="preserve">BANCO DE LA NACION </v>
      </c>
      <c r="D122" s="688" t="s">
        <v>2320</v>
      </c>
      <c r="E122" s="1052">
        <v>2013</v>
      </c>
      <c r="F122" s="687" t="s">
        <v>2318</v>
      </c>
      <c r="G122" s="1052" t="s">
        <v>2321</v>
      </c>
      <c r="H122" s="1052" t="s">
        <v>2322</v>
      </c>
    </row>
    <row r="123" spans="1:8" x14ac:dyDescent="0.2">
      <c r="A123" s="691"/>
      <c r="B123" s="692"/>
      <c r="C123" s="687"/>
      <c r="D123" s="688" t="s">
        <v>2323</v>
      </c>
      <c r="E123" s="1052">
        <v>2013</v>
      </c>
      <c r="F123" s="687" t="s">
        <v>21</v>
      </c>
      <c r="G123" s="1053">
        <v>93210.57</v>
      </c>
      <c r="H123" s="1053" t="s">
        <v>2324</v>
      </c>
    </row>
    <row r="124" spans="1:8" x14ac:dyDescent="0.2">
      <c r="A124" s="691" t="s">
        <v>37</v>
      </c>
      <c r="B124" s="692"/>
      <c r="C124" s="687"/>
      <c r="D124" s="688"/>
      <c r="E124" s="1052"/>
      <c r="F124" s="687"/>
      <c r="G124" s="1052"/>
      <c r="H124" s="1052"/>
    </row>
    <row r="125" spans="1:8" x14ac:dyDescent="0.2">
      <c r="A125" s="691" t="s">
        <v>363</v>
      </c>
      <c r="B125" s="692"/>
      <c r="C125" s="687"/>
      <c r="D125" s="688"/>
      <c r="E125" s="1052"/>
      <c r="F125" s="687"/>
      <c r="G125" s="1052"/>
      <c r="H125" s="1052"/>
    </row>
    <row r="126" spans="1:8" x14ac:dyDescent="0.2">
      <c r="A126" s="691"/>
      <c r="B126" s="692"/>
      <c r="C126" s="687"/>
      <c r="D126" s="688"/>
      <c r="E126" s="1052"/>
      <c r="F126" s="687"/>
      <c r="G126" s="1052"/>
      <c r="H126" s="1052"/>
    </row>
    <row r="127" spans="1:8" ht="12.75" x14ac:dyDescent="0.2">
      <c r="A127" s="691" t="s">
        <v>38</v>
      </c>
      <c r="B127" s="692">
        <v>1452</v>
      </c>
      <c r="C127" s="687" t="str">
        <f>+C122</f>
        <v xml:space="preserve">BANCO DE LA NACION </v>
      </c>
      <c r="D127" s="688" t="s">
        <v>2325</v>
      </c>
      <c r="E127" s="1052">
        <v>2013</v>
      </c>
      <c r="F127" s="687" t="s">
        <v>21</v>
      </c>
      <c r="G127" s="1052" t="s">
        <v>2326</v>
      </c>
      <c r="H127" s="1054" t="s">
        <v>2327</v>
      </c>
    </row>
    <row r="128" spans="1:8" x14ac:dyDescent="0.2">
      <c r="A128" s="691"/>
      <c r="B128" s="692"/>
      <c r="C128" s="687"/>
      <c r="D128" s="688"/>
      <c r="E128" s="1051"/>
      <c r="F128" s="687"/>
      <c r="G128" s="1052"/>
      <c r="H128" s="1052"/>
    </row>
    <row r="129" spans="1:8" x14ac:dyDescent="0.2">
      <c r="A129" s="691" t="s">
        <v>39</v>
      </c>
      <c r="B129" s="1055">
        <v>1452</v>
      </c>
      <c r="C129" s="1056" t="str">
        <f>+C127</f>
        <v xml:space="preserve">BANCO DE LA NACION </v>
      </c>
      <c r="D129" s="1056" t="s">
        <v>2328</v>
      </c>
      <c r="E129" s="1057">
        <v>2017</v>
      </c>
      <c r="F129" s="687" t="s">
        <v>21</v>
      </c>
      <c r="G129" s="1052" t="s">
        <v>2329</v>
      </c>
      <c r="H129" s="1052"/>
    </row>
    <row r="130" spans="1:8" x14ac:dyDescent="0.2">
      <c r="A130" s="691"/>
      <c r="B130" s="1055"/>
      <c r="C130" s="1056"/>
      <c r="D130" s="1056"/>
      <c r="E130" s="1057"/>
      <c r="F130" s="687"/>
      <c r="G130" s="1052"/>
      <c r="H130" s="1052"/>
    </row>
    <row r="131" spans="1:8" x14ac:dyDescent="0.2">
      <c r="A131" s="691" t="s">
        <v>43</v>
      </c>
      <c r="B131" s="1055"/>
      <c r="C131" s="1056"/>
      <c r="D131" s="1056"/>
      <c r="E131" s="1057"/>
      <c r="F131" s="687"/>
      <c r="G131" s="1052"/>
      <c r="H131" s="1052" t="s">
        <v>561</v>
      </c>
    </row>
    <row r="132" spans="1:8" x14ac:dyDescent="0.2">
      <c r="A132" s="691" t="s">
        <v>44</v>
      </c>
      <c r="B132" s="1055"/>
      <c r="C132" s="1056"/>
      <c r="D132" s="1056"/>
      <c r="E132" s="1057"/>
      <c r="F132" s="687"/>
      <c r="G132" s="1052"/>
      <c r="H132" s="1052"/>
    </row>
    <row r="133" spans="1:8" x14ac:dyDescent="0.2">
      <c r="A133" s="691" t="s">
        <v>2330</v>
      </c>
      <c r="B133" s="1055">
        <v>1452</v>
      </c>
      <c r="C133" s="1056" t="str">
        <f>+C129</f>
        <v xml:space="preserve">BANCO DE LA NACION </v>
      </c>
      <c r="D133" s="1056" t="s">
        <v>2328</v>
      </c>
      <c r="E133" s="1057">
        <v>2017</v>
      </c>
      <c r="F133" s="687" t="s">
        <v>21</v>
      </c>
      <c r="G133" s="1057" t="s">
        <v>2331</v>
      </c>
      <c r="H133" s="1052" t="s">
        <v>561</v>
      </c>
    </row>
    <row r="134" spans="1:8" x14ac:dyDescent="0.2">
      <c r="A134" s="691" t="s">
        <v>40</v>
      </c>
      <c r="B134" s="1055"/>
      <c r="C134" s="1056"/>
      <c r="D134" s="1056"/>
      <c r="E134" s="1057"/>
      <c r="F134" s="687"/>
      <c r="G134" s="1057"/>
      <c r="H134" s="1052"/>
    </row>
    <row r="135" spans="1:8" x14ac:dyDescent="0.2">
      <c r="A135" s="691" t="s">
        <v>41</v>
      </c>
      <c r="B135" s="1055"/>
      <c r="C135" s="1056"/>
      <c r="D135" s="1056"/>
      <c r="E135" s="1057"/>
      <c r="F135" s="687"/>
      <c r="G135" s="1057"/>
      <c r="H135" s="1052"/>
    </row>
    <row r="136" spans="1:8" x14ac:dyDescent="0.2">
      <c r="A136" s="691" t="s">
        <v>42</v>
      </c>
      <c r="B136" s="1055"/>
      <c r="C136" s="1056"/>
      <c r="D136" s="1056"/>
      <c r="E136" s="1057"/>
      <c r="F136" s="687"/>
      <c r="G136" s="1057"/>
      <c r="H136" s="1052"/>
    </row>
    <row r="137" spans="1:8" x14ac:dyDescent="0.2">
      <c r="A137" s="691" t="s">
        <v>362</v>
      </c>
      <c r="B137" s="1055"/>
      <c r="C137" s="1056"/>
      <c r="D137" s="1056"/>
      <c r="E137" s="1057"/>
      <c r="F137" s="687"/>
      <c r="G137" s="1057"/>
      <c r="H137" s="1052"/>
    </row>
    <row r="138" spans="1:8" ht="12.75" thickBot="1" x14ac:dyDescent="0.25">
      <c r="A138" s="693"/>
      <c r="B138" s="1058"/>
      <c r="C138" s="695"/>
      <c r="E138" s="1059"/>
      <c r="F138" s="695"/>
      <c r="G138" s="1052"/>
      <c r="H138" s="1052"/>
    </row>
    <row r="139" spans="1:8" ht="12.75" thickBot="1" x14ac:dyDescent="0.25">
      <c r="A139" s="362" t="s">
        <v>0</v>
      </c>
      <c r="B139" s="361"/>
      <c r="C139" s="360"/>
      <c r="D139" s="360"/>
      <c r="E139" s="1060"/>
      <c r="F139" s="360"/>
      <c r="G139" s="1060"/>
      <c r="H139" s="1061"/>
    </row>
    <row r="140" spans="1:8" x14ac:dyDescent="0.2">
      <c r="A140" s="359" t="s">
        <v>434</v>
      </c>
      <c r="B140" s="1047"/>
      <c r="E140" s="1048"/>
      <c r="G140" s="1048"/>
      <c r="H140" s="1048"/>
    </row>
    <row r="141" spans="1:8" x14ac:dyDescent="0.2">
      <c r="A141" s="359" t="s">
        <v>435</v>
      </c>
      <c r="B141" s="1047"/>
      <c r="E141" s="1048"/>
      <c r="G141" s="1048"/>
      <c r="H141" s="1048"/>
    </row>
    <row r="143" spans="1:8" ht="15.75" x14ac:dyDescent="0.25">
      <c r="A143" s="679" t="s">
        <v>433</v>
      </c>
      <c r="B143" s="680"/>
      <c r="C143" s="680"/>
      <c r="D143" s="680"/>
      <c r="E143" s="680"/>
      <c r="F143" s="680"/>
      <c r="G143" s="680"/>
      <c r="H143" s="680"/>
    </row>
    <row r="144" spans="1:8" ht="15.75" x14ac:dyDescent="0.2">
      <c r="A144" s="490" t="s">
        <v>460</v>
      </c>
      <c r="B144" s="562"/>
      <c r="C144" s="562"/>
      <c r="D144" s="562"/>
      <c r="E144" s="562"/>
      <c r="F144" s="562"/>
      <c r="G144" s="562"/>
      <c r="H144" s="562"/>
    </row>
    <row r="145" spans="1:8" ht="12.75" thickBot="1" x14ac:dyDescent="0.25">
      <c r="A145" s="359" t="s">
        <v>2901</v>
      </c>
    </row>
    <row r="146" spans="1:8" ht="12.75" thickBot="1" x14ac:dyDescent="0.25">
      <c r="A146" s="1529" t="s">
        <v>369</v>
      </c>
      <c r="B146" s="1529" t="s">
        <v>105</v>
      </c>
      <c r="C146" s="1527" t="s">
        <v>368</v>
      </c>
      <c r="D146" s="1528"/>
      <c r="E146" s="1528"/>
      <c r="F146" s="1528"/>
      <c r="G146" s="1528"/>
      <c r="H146" s="1528"/>
    </row>
    <row r="147" spans="1:8" ht="24.75" thickBot="1" x14ac:dyDescent="0.25">
      <c r="A147" s="1530"/>
      <c r="B147" s="1530"/>
      <c r="C147" s="367" t="s">
        <v>367</v>
      </c>
      <c r="D147" s="509" t="s">
        <v>366</v>
      </c>
      <c r="E147" s="365" t="s">
        <v>365</v>
      </c>
      <c r="F147" s="364" t="s">
        <v>364</v>
      </c>
      <c r="G147" s="364" t="s">
        <v>1393</v>
      </c>
      <c r="H147" s="364" t="s">
        <v>1394</v>
      </c>
    </row>
    <row r="148" spans="1:8" x14ac:dyDescent="0.2">
      <c r="A148" s="685"/>
      <c r="B148" s="815"/>
      <c r="C148" s="687"/>
      <c r="D148" s="1188"/>
      <c r="E148" s="816"/>
      <c r="F148" s="687"/>
      <c r="G148" s="819"/>
      <c r="H148" s="819"/>
    </row>
    <row r="149" spans="1:8" x14ac:dyDescent="0.2">
      <c r="A149" s="691" t="s">
        <v>35</v>
      </c>
      <c r="B149" s="692">
        <v>1317</v>
      </c>
      <c r="C149" s="690" t="s">
        <v>1355</v>
      </c>
      <c r="D149" s="1188" t="s">
        <v>2902</v>
      </c>
      <c r="E149" s="1189" t="s">
        <v>2903</v>
      </c>
      <c r="F149" s="687" t="s">
        <v>2318</v>
      </c>
      <c r="G149" s="819">
        <v>0</v>
      </c>
      <c r="H149" s="819">
        <v>0</v>
      </c>
    </row>
    <row r="150" spans="1:8" x14ac:dyDescent="0.2">
      <c r="A150" s="691"/>
      <c r="B150" s="692"/>
      <c r="C150" s="687"/>
      <c r="D150" s="1188"/>
      <c r="E150" s="1189"/>
      <c r="F150" s="687"/>
      <c r="G150" s="819"/>
      <c r="H150" s="819"/>
    </row>
    <row r="151" spans="1:8" x14ac:dyDescent="0.2">
      <c r="A151" s="691" t="s">
        <v>36</v>
      </c>
      <c r="B151" s="692">
        <v>1317</v>
      </c>
      <c r="C151" s="687"/>
      <c r="D151" s="1188"/>
      <c r="E151" s="1189"/>
      <c r="F151" s="687"/>
      <c r="G151" s="819"/>
      <c r="H151" s="819"/>
    </row>
    <row r="152" spans="1:8" x14ac:dyDescent="0.2">
      <c r="A152" s="691" t="s">
        <v>2904</v>
      </c>
      <c r="B152" s="692"/>
      <c r="C152" s="690" t="s">
        <v>1355</v>
      </c>
      <c r="D152" s="1188">
        <v>876062</v>
      </c>
      <c r="E152" s="1189">
        <v>2008</v>
      </c>
      <c r="F152" s="687" t="s">
        <v>2318</v>
      </c>
      <c r="G152" s="819">
        <v>330326.15000000002</v>
      </c>
      <c r="H152" s="819">
        <v>270514.27</v>
      </c>
    </row>
    <row r="153" spans="1:8" x14ac:dyDescent="0.2">
      <c r="A153" s="691" t="s">
        <v>2905</v>
      </c>
      <c r="B153" s="692"/>
      <c r="C153" s="690" t="s">
        <v>2906</v>
      </c>
      <c r="D153" s="1188" t="s">
        <v>2907</v>
      </c>
      <c r="E153" s="1189" t="s">
        <v>2908</v>
      </c>
      <c r="F153" s="687" t="s">
        <v>2318</v>
      </c>
      <c r="G153" s="819">
        <v>2004747.06</v>
      </c>
      <c r="H153" s="819">
        <v>20700.3</v>
      </c>
    </row>
    <row r="154" spans="1:8" x14ac:dyDescent="0.2">
      <c r="A154" s="691" t="s">
        <v>2909</v>
      </c>
      <c r="B154" s="692"/>
      <c r="C154" s="690" t="s">
        <v>1355</v>
      </c>
      <c r="D154" s="1188" t="s">
        <v>2910</v>
      </c>
      <c r="E154" s="1189" t="s">
        <v>2911</v>
      </c>
      <c r="F154" s="687" t="s">
        <v>2318</v>
      </c>
      <c r="G154" s="819">
        <v>1073913.22</v>
      </c>
      <c r="H154" s="819">
        <v>1308194.69</v>
      </c>
    </row>
    <row r="155" spans="1:8" x14ac:dyDescent="0.2">
      <c r="A155" s="691" t="s">
        <v>2912</v>
      </c>
      <c r="B155" s="692"/>
      <c r="C155" s="690" t="s">
        <v>1355</v>
      </c>
      <c r="D155" s="1188" t="s">
        <v>2913</v>
      </c>
      <c r="E155" s="1189" t="s">
        <v>2903</v>
      </c>
      <c r="F155" s="687" t="s">
        <v>2318</v>
      </c>
      <c r="G155" s="819">
        <v>141574.84</v>
      </c>
      <c r="H155" s="819">
        <v>145791.84</v>
      </c>
    </row>
    <row r="156" spans="1:8" x14ac:dyDescent="0.2">
      <c r="A156" s="691" t="s">
        <v>2914</v>
      </c>
      <c r="B156" s="692"/>
      <c r="C156" s="690" t="s">
        <v>1355</v>
      </c>
      <c r="D156" s="1188" t="s">
        <v>2915</v>
      </c>
      <c r="E156" s="1189" t="s">
        <v>2916</v>
      </c>
      <c r="F156" s="687" t="s">
        <v>2318</v>
      </c>
      <c r="G156" s="819">
        <v>170606.45</v>
      </c>
      <c r="H156" s="819">
        <v>195950.1</v>
      </c>
    </row>
    <row r="157" spans="1:8" x14ac:dyDescent="0.2">
      <c r="A157" s="691"/>
      <c r="B157" s="692"/>
      <c r="C157" s="690"/>
      <c r="D157" s="1188"/>
      <c r="E157" s="1189"/>
      <c r="F157" s="687"/>
      <c r="G157" s="819"/>
      <c r="H157" s="819"/>
    </row>
    <row r="158" spans="1:8" x14ac:dyDescent="0.2">
      <c r="A158" s="691" t="s">
        <v>37</v>
      </c>
      <c r="B158" s="692">
        <v>1317</v>
      </c>
      <c r="C158" s="690"/>
      <c r="D158" s="1188"/>
      <c r="E158" s="1189"/>
      <c r="F158" s="687"/>
      <c r="G158" s="819"/>
      <c r="H158" s="819"/>
    </row>
    <row r="159" spans="1:8" x14ac:dyDescent="0.2">
      <c r="A159" s="691" t="s">
        <v>363</v>
      </c>
      <c r="B159" s="692"/>
      <c r="C159" s="690"/>
      <c r="D159" s="1188"/>
      <c r="E159" s="1189"/>
      <c r="F159" s="687"/>
      <c r="G159" s="819"/>
      <c r="H159" s="819"/>
    </row>
    <row r="160" spans="1:8" ht="31.5" x14ac:dyDescent="0.2">
      <c r="A160" s="1190" t="s">
        <v>2917</v>
      </c>
      <c r="B160" s="1191"/>
      <c r="C160" s="1192" t="s">
        <v>2906</v>
      </c>
      <c r="D160" s="1193"/>
      <c r="E160" s="1194" t="s">
        <v>1392</v>
      </c>
      <c r="F160" s="1195" t="s">
        <v>2318</v>
      </c>
      <c r="G160" s="1196">
        <v>0</v>
      </c>
      <c r="H160" s="1196">
        <v>629165</v>
      </c>
    </row>
    <row r="161" spans="1:8" x14ac:dyDescent="0.2">
      <c r="A161" s="1190" t="s">
        <v>2918</v>
      </c>
      <c r="B161" s="1191"/>
      <c r="C161" s="690" t="s">
        <v>2906</v>
      </c>
      <c r="D161" s="1193" t="s">
        <v>2919</v>
      </c>
      <c r="E161" s="1194" t="s">
        <v>1392</v>
      </c>
      <c r="F161" s="1195" t="s">
        <v>2318</v>
      </c>
      <c r="G161" s="1196">
        <v>28281.4</v>
      </c>
      <c r="H161" s="1196">
        <v>28281.4</v>
      </c>
    </row>
    <row r="162" spans="1:8" x14ac:dyDescent="0.2">
      <c r="A162" s="691"/>
      <c r="B162" s="692"/>
      <c r="C162" s="690"/>
      <c r="D162" s="1188"/>
      <c r="E162" s="1189"/>
      <c r="F162" s="687"/>
      <c r="G162" s="819"/>
      <c r="H162" s="819"/>
    </row>
    <row r="163" spans="1:8" x14ac:dyDescent="0.2">
      <c r="A163" s="691" t="s">
        <v>38</v>
      </c>
      <c r="B163" s="692">
        <v>1317</v>
      </c>
      <c r="C163" s="690"/>
      <c r="D163" s="1188"/>
      <c r="E163" s="1189"/>
      <c r="F163" s="687"/>
      <c r="G163" s="819"/>
      <c r="H163" s="819"/>
    </row>
    <row r="164" spans="1:8" x14ac:dyDescent="0.2">
      <c r="A164" s="691" t="s">
        <v>2920</v>
      </c>
      <c r="B164" s="692"/>
      <c r="C164" s="690" t="s">
        <v>2906</v>
      </c>
      <c r="D164" s="1188" t="s">
        <v>2921</v>
      </c>
      <c r="E164" s="1189" t="s">
        <v>2922</v>
      </c>
      <c r="F164" s="687" t="s">
        <v>2318</v>
      </c>
      <c r="G164" s="819">
        <v>11076489.82</v>
      </c>
      <c r="H164" s="819">
        <v>22979564.59</v>
      </c>
    </row>
    <row r="165" spans="1:8" x14ac:dyDescent="0.2">
      <c r="A165" s="691" t="s">
        <v>2923</v>
      </c>
      <c r="B165" s="692"/>
      <c r="C165" s="690" t="s">
        <v>1355</v>
      </c>
      <c r="D165" s="1188" t="s">
        <v>2924</v>
      </c>
      <c r="E165" s="1189" t="s">
        <v>2911</v>
      </c>
      <c r="F165" s="687" t="s">
        <v>2318</v>
      </c>
      <c r="G165" s="819">
        <v>2393.58</v>
      </c>
      <c r="H165" s="819">
        <v>2393.58</v>
      </c>
    </row>
    <row r="166" spans="1:8" x14ac:dyDescent="0.2">
      <c r="A166" s="691" t="s">
        <v>2925</v>
      </c>
      <c r="B166" s="692"/>
      <c r="C166" s="690" t="s">
        <v>1355</v>
      </c>
      <c r="D166" s="1188">
        <v>876399</v>
      </c>
      <c r="E166" s="1189" t="s">
        <v>2911</v>
      </c>
      <c r="F166" s="687" t="s">
        <v>2318</v>
      </c>
      <c r="G166" s="819">
        <v>3369.55</v>
      </c>
      <c r="H166" s="819">
        <v>3369.55</v>
      </c>
    </row>
    <row r="167" spans="1:8" x14ac:dyDescent="0.2">
      <c r="A167" s="691" t="s">
        <v>2926</v>
      </c>
      <c r="B167" s="692"/>
      <c r="C167" s="690" t="s">
        <v>1355</v>
      </c>
      <c r="D167" s="1188">
        <v>876380</v>
      </c>
      <c r="E167" s="1189" t="s">
        <v>2911</v>
      </c>
      <c r="F167" s="687" t="s">
        <v>2318</v>
      </c>
      <c r="G167" s="819">
        <v>63508.9</v>
      </c>
      <c r="H167" s="819">
        <v>63508.9</v>
      </c>
    </row>
    <row r="168" spans="1:8" x14ac:dyDescent="0.2">
      <c r="A168" s="691"/>
      <c r="B168" s="692"/>
      <c r="C168" s="690"/>
      <c r="D168" s="1188"/>
      <c r="E168" s="1189"/>
      <c r="F168" s="687"/>
      <c r="G168" s="819"/>
      <c r="H168" s="819"/>
    </row>
    <row r="169" spans="1:8" x14ac:dyDescent="0.2">
      <c r="A169" s="691" t="s">
        <v>39</v>
      </c>
      <c r="B169" s="692">
        <v>1317</v>
      </c>
      <c r="C169" s="690"/>
      <c r="D169" s="1188"/>
      <c r="E169" s="1189"/>
      <c r="F169" s="687"/>
      <c r="G169" s="819"/>
      <c r="H169" s="819"/>
    </row>
    <row r="170" spans="1:8" x14ac:dyDescent="0.2">
      <c r="A170" s="691"/>
      <c r="B170" s="692"/>
      <c r="C170" s="690"/>
      <c r="D170" s="1188"/>
      <c r="E170" s="1189"/>
      <c r="F170" s="687"/>
      <c r="G170" s="819"/>
      <c r="H170" s="819"/>
    </row>
    <row r="171" spans="1:8" x14ac:dyDescent="0.2">
      <c r="A171" s="691" t="s">
        <v>43</v>
      </c>
      <c r="B171" s="692"/>
      <c r="C171" s="690"/>
      <c r="D171" s="1188"/>
      <c r="E171" s="1189"/>
      <c r="F171" s="687"/>
      <c r="G171" s="819"/>
      <c r="H171" s="819"/>
    </row>
    <row r="172" spans="1:8" x14ac:dyDescent="0.2">
      <c r="A172" s="691" t="s">
        <v>44</v>
      </c>
      <c r="B172" s="692"/>
      <c r="C172" s="690"/>
      <c r="D172" s="1188"/>
      <c r="E172" s="1189"/>
      <c r="F172" s="687"/>
      <c r="G172" s="819"/>
      <c r="H172" s="819"/>
    </row>
    <row r="173" spans="1:8" x14ac:dyDescent="0.2">
      <c r="A173" s="691" t="s">
        <v>2927</v>
      </c>
      <c r="B173" s="692"/>
      <c r="C173" s="690" t="s">
        <v>2906</v>
      </c>
      <c r="D173" s="1188" t="s">
        <v>2928</v>
      </c>
      <c r="E173" s="1189" t="s">
        <v>2929</v>
      </c>
      <c r="F173" s="687" t="s">
        <v>2318</v>
      </c>
      <c r="G173" s="819">
        <v>68155</v>
      </c>
      <c r="H173" s="819">
        <v>68155</v>
      </c>
    </row>
    <row r="174" spans="1:8" ht="12.75" x14ac:dyDescent="0.2">
      <c r="A174" s="691" t="s">
        <v>2930</v>
      </c>
      <c r="B174" s="692"/>
      <c r="C174" s="690" t="s">
        <v>2906</v>
      </c>
      <c r="D174" s="1188" t="s">
        <v>2931</v>
      </c>
      <c r="E174" s="1189" t="s">
        <v>2929</v>
      </c>
      <c r="F174" s="687" t="s">
        <v>2318</v>
      </c>
      <c r="G174" s="819">
        <v>811897.46</v>
      </c>
      <c r="H174" s="1197">
        <v>5372949.2800000003</v>
      </c>
    </row>
    <row r="175" spans="1:8" x14ac:dyDescent="0.2">
      <c r="A175" s="691" t="s">
        <v>2932</v>
      </c>
      <c r="B175" s="692"/>
      <c r="C175" s="690" t="s">
        <v>2906</v>
      </c>
      <c r="D175" s="1188" t="s">
        <v>2933</v>
      </c>
      <c r="E175" s="1189" t="s">
        <v>2929</v>
      </c>
      <c r="F175" s="687" t="s">
        <v>2318</v>
      </c>
      <c r="G175" s="819">
        <v>508.99</v>
      </c>
      <c r="H175" s="819">
        <v>508.99</v>
      </c>
    </row>
    <row r="176" spans="1:8" x14ac:dyDescent="0.2">
      <c r="A176" s="691"/>
      <c r="B176" s="692"/>
      <c r="C176" s="692"/>
      <c r="D176" s="1188"/>
      <c r="E176" s="1189"/>
      <c r="F176" s="695"/>
      <c r="G176" s="819"/>
      <c r="H176" s="819"/>
    </row>
    <row r="177" spans="1:8" x14ac:dyDescent="0.2">
      <c r="A177" s="691" t="s">
        <v>2934</v>
      </c>
      <c r="B177" s="692"/>
      <c r="C177" s="1047"/>
      <c r="D177" s="1189"/>
      <c r="E177" s="1189"/>
      <c r="F177" s="691"/>
      <c r="G177" s="1198"/>
      <c r="H177" s="1198"/>
    </row>
    <row r="178" spans="1:8" x14ac:dyDescent="0.2">
      <c r="A178" s="691" t="s">
        <v>2935</v>
      </c>
      <c r="B178" s="692">
        <v>1317</v>
      </c>
      <c r="C178" s="817" t="s">
        <v>1355</v>
      </c>
      <c r="D178" s="1189" t="s">
        <v>2936</v>
      </c>
      <c r="E178" s="1189" t="s">
        <v>2903</v>
      </c>
      <c r="F178" s="691" t="s">
        <v>2318</v>
      </c>
      <c r="G178" s="1198">
        <v>615375.1</v>
      </c>
      <c r="H178" s="1198">
        <v>654543.1</v>
      </c>
    </row>
    <row r="179" spans="1:8" x14ac:dyDescent="0.2">
      <c r="A179" s="691"/>
      <c r="B179" s="692"/>
      <c r="C179" s="817"/>
      <c r="D179" s="1189"/>
      <c r="E179" s="1189"/>
      <c r="F179" s="691"/>
      <c r="G179" s="1198"/>
      <c r="H179" s="1198"/>
    </row>
    <row r="180" spans="1:8" ht="12.75" thickBot="1" x14ac:dyDescent="0.25">
      <c r="A180" s="691"/>
      <c r="B180" s="692"/>
      <c r="D180" s="1199"/>
      <c r="E180" s="1199"/>
      <c r="F180" s="693"/>
      <c r="G180" s="1200"/>
      <c r="H180" s="1200"/>
    </row>
    <row r="181" spans="1:8" ht="12.75" thickBot="1" x14ac:dyDescent="0.25">
      <c r="A181" s="1201" t="s">
        <v>0</v>
      </c>
      <c r="B181" s="1202"/>
      <c r="C181" s="360"/>
      <c r="D181" s="360"/>
      <c r="E181" s="1203"/>
      <c r="F181" s="360"/>
      <c r="G181" s="360"/>
      <c r="H181" s="820"/>
    </row>
    <row r="182" spans="1:8" x14ac:dyDescent="0.2">
      <c r="A182" s="359" t="s">
        <v>434</v>
      </c>
      <c r="E182" s="1188"/>
    </row>
    <row r="183" spans="1:8" x14ac:dyDescent="0.2">
      <c r="A183" s="359" t="s">
        <v>435</v>
      </c>
      <c r="E183" s="1188"/>
    </row>
    <row r="185" spans="1:8" ht="15.75" x14ac:dyDescent="0.25">
      <c r="A185" s="679" t="s">
        <v>433</v>
      </c>
      <c r="B185" s="680"/>
      <c r="C185" s="680"/>
      <c r="D185" s="680"/>
      <c r="E185" s="680"/>
      <c r="F185" s="680"/>
      <c r="G185" s="680"/>
      <c r="H185" s="680"/>
    </row>
    <row r="186" spans="1:8" ht="15.75" x14ac:dyDescent="0.2">
      <c r="A186" s="490" t="s">
        <v>2282</v>
      </c>
      <c r="B186" s="562"/>
      <c r="C186" s="562"/>
      <c r="D186" s="562"/>
      <c r="E186" s="562"/>
      <c r="F186" s="562"/>
      <c r="G186" s="562"/>
      <c r="H186" s="562"/>
    </row>
    <row r="187" spans="1:8" ht="12.75" thickBot="1" x14ac:dyDescent="0.25">
      <c r="A187" s="490" t="s">
        <v>4111</v>
      </c>
    </row>
    <row r="188" spans="1:8" ht="12.75" thickBot="1" x14ac:dyDescent="0.25">
      <c r="A188" s="1529" t="s">
        <v>369</v>
      </c>
      <c r="B188" s="1529" t="s">
        <v>105</v>
      </c>
      <c r="C188" s="1527" t="s">
        <v>368</v>
      </c>
      <c r="D188" s="1528"/>
      <c r="E188" s="1528"/>
      <c r="F188" s="1528"/>
      <c r="G188" s="1528"/>
      <c r="H188" s="1528"/>
    </row>
    <row r="189" spans="1:8" ht="24.75" thickBot="1" x14ac:dyDescent="0.25">
      <c r="A189" s="1530"/>
      <c r="B189" s="1530"/>
      <c r="C189" s="367" t="s">
        <v>367</v>
      </c>
      <c r="D189" s="509" t="s">
        <v>366</v>
      </c>
      <c r="E189" s="365" t="s">
        <v>365</v>
      </c>
      <c r="F189" s="364" t="s">
        <v>364</v>
      </c>
      <c r="G189" s="364" t="s">
        <v>1393</v>
      </c>
      <c r="H189" s="364" t="s">
        <v>1394</v>
      </c>
    </row>
    <row r="190" spans="1:8" x14ac:dyDescent="0.2">
      <c r="A190" s="685"/>
      <c r="B190" s="815"/>
      <c r="C190" s="687"/>
      <c r="D190" s="688"/>
      <c r="E190" s="816"/>
      <c r="F190" s="687"/>
      <c r="G190" s="687"/>
      <c r="H190" s="687"/>
    </row>
    <row r="191" spans="1:8" x14ac:dyDescent="0.2">
      <c r="A191" s="691" t="s">
        <v>35</v>
      </c>
      <c r="B191" s="695" t="s">
        <v>4114</v>
      </c>
      <c r="C191" s="687" t="s">
        <v>4115</v>
      </c>
      <c r="D191" s="688" t="s">
        <v>4116</v>
      </c>
      <c r="E191" s="816">
        <v>2017</v>
      </c>
      <c r="F191" s="687" t="s">
        <v>1357</v>
      </c>
      <c r="G191" s="819"/>
      <c r="H191" s="687"/>
    </row>
    <row r="192" spans="1:8" x14ac:dyDescent="0.2">
      <c r="A192" s="691"/>
      <c r="B192" s="695"/>
      <c r="C192" s="687"/>
      <c r="D192" s="688"/>
      <c r="E192" s="816"/>
      <c r="F192" s="687"/>
      <c r="G192" s="819"/>
      <c r="H192" s="687"/>
    </row>
    <row r="193" spans="1:8" x14ac:dyDescent="0.2">
      <c r="A193" s="691" t="s">
        <v>36</v>
      </c>
      <c r="B193" s="695" t="s">
        <v>4114</v>
      </c>
      <c r="C193" s="687" t="s">
        <v>4115</v>
      </c>
      <c r="D193" s="688" t="s">
        <v>4117</v>
      </c>
      <c r="E193" s="816">
        <v>2017</v>
      </c>
      <c r="F193" s="687" t="s">
        <v>1357</v>
      </c>
      <c r="G193" s="819">
        <v>128336.07</v>
      </c>
      <c r="H193" s="819">
        <v>168359.7</v>
      </c>
    </row>
    <row r="194" spans="1:8" x14ac:dyDescent="0.2">
      <c r="A194" s="691"/>
      <c r="B194" s="695"/>
      <c r="C194" s="687" t="s">
        <v>4115</v>
      </c>
      <c r="D194" s="688" t="s">
        <v>4118</v>
      </c>
      <c r="E194" s="816">
        <v>2017</v>
      </c>
      <c r="F194" s="687" t="s">
        <v>1357</v>
      </c>
      <c r="G194" s="819">
        <v>160038.49</v>
      </c>
      <c r="H194" s="819">
        <v>75774.740000000005</v>
      </c>
    </row>
    <row r="195" spans="1:8" x14ac:dyDescent="0.2">
      <c r="A195" s="691"/>
      <c r="B195" s="695"/>
      <c r="C195" s="687" t="s">
        <v>4115</v>
      </c>
      <c r="D195" s="688" t="s">
        <v>4119</v>
      </c>
      <c r="E195" s="816">
        <v>2017</v>
      </c>
      <c r="F195" s="687" t="s">
        <v>1357</v>
      </c>
      <c r="G195" s="819">
        <v>128622.79</v>
      </c>
      <c r="H195" s="819">
        <v>18217.87</v>
      </c>
    </row>
    <row r="196" spans="1:8" x14ac:dyDescent="0.2">
      <c r="A196" s="691"/>
      <c r="B196" s="695"/>
      <c r="C196" s="687"/>
      <c r="D196" s="688"/>
      <c r="E196" s="816"/>
      <c r="F196" s="687"/>
      <c r="G196" s="819"/>
      <c r="H196" s="819"/>
    </row>
    <row r="197" spans="1:8" x14ac:dyDescent="0.2">
      <c r="A197" s="691" t="s">
        <v>37</v>
      </c>
      <c r="B197" s="695"/>
      <c r="C197" s="687"/>
      <c r="D197" s="688"/>
      <c r="E197" s="816"/>
      <c r="F197" s="687"/>
      <c r="G197" s="819"/>
      <c r="H197" s="819"/>
    </row>
    <row r="198" spans="1:8" x14ac:dyDescent="0.2">
      <c r="A198" s="691" t="s">
        <v>363</v>
      </c>
      <c r="B198" s="695"/>
      <c r="C198" s="687"/>
      <c r="D198" s="688"/>
      <c r="E198" s="816"/>
      <c r="F198" s="687"/>
      <c r="G198" s="819"/>
      <c r="H198" s="819"/>
    </row>
    <row r="199" spans="1:8" x14ac:dyDescent="0.2">
      <c r="A199" s="691"/>
      <c r="B199" s="695"/>
      <c r="C199" s="687"/>
      <c r="D199" s="688"/>
      <c r="E199" s="816"/>
      <c r="F199" s="687"/>
      <c r="G199" s="819"/>
      <c r="H199" s="819"/>
    </row>
    <row r="200" spans="1:8" x14ac:dyDescent="0.2">
      <c r="A200" s="691" t="s">
        <v>38</v>
      </c>
      <c r="B200" s="695" t="s">
        <v>4114</v>
      </c>
      <c r="C200" s="687" t="s">
        <v>4115</v>
      </c>
      <c r="D200" s="688" t="s">
        <v>4120</v>
      </c>
      <c r="E200" s="816">
        <v>2017</v>
      </c>
      <c r="F200" s="687" t="s">
        <v>1357</v>
      </c>
      <c r="G200" s="819">
        <v>474109.94</v>
      </c>
      <c r="H200" s="819">
        <v>968832.67</v>
      </c>
    </row>
    <row r="201" spans="1:8" x14ac:dyDescent="0.2">
      <c r="A201" s="691"/>
      <c r="B201" s="695"/>
      <c r="C201" s="687"/>
      <c r="D201" s="688"/>
      <c r="E201" s="816"/>
      <c r="F201" s="687"/>
      <c r="G201" s="819"/>
      <c r="H201" s="819"/>
    </row>
    <row r="202" spans="1:8" x14ac:dyDescent="0.2">
      <c r="A202" s="691" t="s">
        <v>39</v>
      </c>
      <c r="B202" s="695"/>
      <c r="C202" s="687"/>
      <c r="D202" s="688"/>
      <c r="E202" s="816"/>
      <c r="F202" s="687"/>
      <c r="G202" s="819"/>
      <c r="H202" s="819"/>
    </row>
    <row r="203" spans="1:8" x14ac:dyDescent="0.2">
      <c r="A203" s="691"/>
      <c r="B203" s="695"/>
      <c r="C203" s="687"/>
      <c r="D203" s="688"/>
      <c r="E203" s="816"/>
      <c r="F203" s="687"/>
      <c r="G203" s="819"/>
      <c r="H203" s="819"/>
    </row>
    <row r="204" spans="1:8" x14ac:dyDescent="0.2">
      <c r="A204" s="691" t="s">
        <v>43</v>
      </c>
      <c r="B204" s="695" t="s">
        <v>4114</v>
      </c>
      <c r="C204" s="687" t="s">
        <v>4115</v>
      </c>
      <c r="D204" s="688" t="s">
        <v>4121</v>
      </c>
      <c r="E204" s="816">
        <v>2017</v>
      </c>
      <c r="F204" s="687" t="s">
        <v>1357</v>
      </c>
      <c r="G204" s="819">
        <v>277836.59999999998</v>
      </c>
      <c r="H204" s="819">
        <v>857582.11</v>
      </c>
    </row>
    <row r="205" spans="1:8" x14ac:dyDescent="0.2">
      <c r="A205" s="691" t="s">
        <v>44</v>
      </c>
      <c r="B205" s="695"/>
      <c r="C205" s="687"/>
      <c r="D205" s="688"/>
      <c r="E205" s="816"/>
      <c r="F205" s="687"/>
      <c r="G205" s="687"/>
      <c r="H205" s="687"/>
    </row>
    <row r="206" spans="1:8" x14ac:dyDescent="0.2">
      <c r="A206" s="691" t="s">
        <v>40</v>
      </c>
      <c r="B206" s="695"/>
      <c r="C206" s="687"/>
      <c r="D206" s="688"/>
      <c r="E206" s="816"/>
      <c r="F206" s="687"/>
      <c r="G206" s="687"/>
      <c r="H206" s="687"/>
    </row>
    <row r="207" spans="1:8" x14ac:dyDescent="0.2">
      <c r="A207" s="691" t="s">
        <v>41</v>
      </c>
      <c r="B207" s="695"/>
      <c r="C207" s="687"/>
      <c r="D207" s="688"/>
      <c r="E207" s="816"/>
      <c r="F207" s="687"/>
      <c r="G207" s="687"/>
      <c r="H207" s="687"/>
    </row>
    <row r="208" spans="1:8" x14ac:dyDescent="0.2">
      <c r="A208" s="691" t="s">
        <v>42</v>
      </c>
      <c r="B208" s="695"/>
      <c r="C208" s="687"/>
      <c r="D208" s="688"/>
      <c r="E208" s="816"/>
      <c r="F208" s="687"/>
      <c r="G208" s="687"/>
      <c r="H208" s="687"/>
    </row>
    <row r="209" spans="1:8" x14ac:dyDescent="0.2">
      <c r="A209" s="691" t="s">
        <v>362</v>
      </c>
      <c r="B209" s="695"/>
      <c r="C209" s="687"/>
      <c r="D209" s="688"/>
      <c r="E209" s="816"/>
      <c r="F209" s="687"/>
      <c r="G209" s="687"/>
      <c r="H209" s="687"/>
    </row>
    <row r="210" spans="1:8" ht="12.75" thickBot="1" x14ac:dyDescent="0.25">
      <c r="A210" s="693"/>
      <c r="B210" s="694"/>
      <c r="C210" s="695"/>
      <c r="E210" s="691"/>
      <c r="F210" s="695"/>
      <c r="G210" s="695"/>
      <c r="H210" s="695"/>
    </row>
    <row r="211" spans="1:8" ht="12.75" thickBot="1" x14ac:dyDescent="0.25">
      <c r="A211" s="362" t="s">
        <v>0</v>
      </c>
      <c r="B211" s="361"/>
      <c r="C211" s="360"/>
      <c r="D211" s="360"/>
      <c r="E211" s="360"/>
      <c r="F211" s="360"/>
      <c r="G211" s="360"/>
      <c r="H211" s="820"/>
    </row>
    <row r="215" spans="1:8" ht="15.75" x14ac:dyDescent="0.25">
      <c r="A215" s="679" t="s">
        <v>433</v>
      </c>
      <c r="B215" s="680"/>
      <c r="C215" s="680"/>
      <c r="D215" s="680"/>
      <c r="E215" s="680"/>
      <c r="F215" s="680"/>
      <c r="G215" s="680"/>
      <c r="H215" s="680"/>
    </row>
    <row r="216" spans="1:8" ht="15.75" x14ac:dyDescent="0.2">
      <c r="A216" s="490" t="s">
        <v>4261</v>
      </c>
      <c r="B216" s="562"/>
      <c r="C216" s="562"/>
      <c r="D216" s="562"/>
      <c r="E216" s="562"/>
      <c r="F216" s="562"/>
      <c r="G216" s="562"/>
      <c r="H216" s="562"/>
    </row>
    <row r="217" spans="1:8" ht="12.75" thickBot="1" x14ac:dyDescent="0.25">
      <c r="A217" s="490" t="s">
        <v>4262</v>
      </c>
    </row>
    <row r="218" spans="1:8" ht="12.75" thickBot="1" x14ac:dyDescent="0.25">
      <c r="A218" s="1529" t="s">
        <v>369</v>
      </c>
      <c r="B218" s="1529" t="s">
        <v>105</v>
      </c>
      <c r="C218" s="1527" t="s">
        <v>368</v>
      </c>
      <c r="D218" s="1528"/>
      <c r="E218" s="1528"/>
      <c r="F218" s="1528"/>
      <c r="G218" s="1528"/>
      <c r="H218" s="1528"/>
    </row>
    <row r="219" spans="1:8" ht="24.75" thickBot="1" x14ac:dyDescent="0.25">
      <c r="A219" s="1530"/>
      <c r="B219" s="1530"/>
      <c r="C219" s="367" t="s">
        <v>367</v>
      </c>
      <c r="D219" s="509" t="s">
        <v>366</v>
      </c>
      <c r="E219" s="365" t="s">
        <v>365</v>
      </c>
      <c r="F219" s="364" t="s">
        <v>364</v>
      </c>
      <c r="G219" s="364" t="s">
        <v>1393</v>
      </c>
      <c r="H219" s="364" t="s">
        <v>1394</v>
      </c>
    </row>
    <row r="220" spans="1:8" x14ac:dyDescent="0.2">
      <c r="A220" s="685"/>
      <c r="B220" s="815"/>
      <c r="C220" s="687"/>
      <c r="D220" s="688"/>
      <c r="E220" s="816"/>
      <c r="F220" s="687"/>
      <c r="G220" s="687"/>
      <c r="H220" s="687"/>
    </row>
    <row r="221" spans="1:8" x14ac:dyDescent="0.2">
      <c r="A221" s="1387"/>
      <c r="B221" s="1387"/>
      <c r="C221" s="1388"/>
      <c r="D221" s="1388"/>
      <c r="E221" s="1388"/>
      <c r="F221" s="1388"/>
      <c r="G221" s="1389"/>
      <c r="H221" s="1390"/>
    </row>
    <row r="222" spans="1:8" x14ac:dyDescent="0.2">
      <c r="A222" s="1387" t="s">
        <v>35</v>
      </c>
      <c r="B222" s="1387"/>
      <c r="C222" s="1388"/>
      <c r="D222" s="1388"/>
      <c r="E222" s="1388"/>
      <c r="F222" s="1388"/>
      <c r="G222" s="1388"/>
      <c r="H222" s="1390"/>
    </row>
    <row r="223" spans="1:8" x14ac:dyDescent="0.2">
      <c r="A223" s="1387"/>
      <c r="B223" s="1387" t="s">
        <v>4355</v>
      </c>
      <c r="C223" s="1388" t="s">
        <v>1355</v>
      </c>
      <c r="D223" s="1388" t="s">
        <v>4356</v>
      </c>
      <c r="E223" s="1391">
        <v>2005</v>
      </c>
      <c r="F223" s="1388" t="s">
        <v>32</v>
      </c>
      <c r="G223" s="1388"/>
      <c r="H223" s="1390"/>
    </row>
    <row r="224" spans="1:8" x14ac:dyDescent="0.2">
      <c r="A224" s="1387" t="s">
        <v>36</v>
      </c>
      <c r="B224" s="1387"/>
      <c r="C224" s="1388"/>
      <c r="D224" s="1388"/>
      <c r="E224" s="1391"/>
      <c r="F224" s="1388"/>
      <c r="G224" s="1388"/>
      <c r="H224" s="1390"/>
    </row>
    <row r="225" spans="1:8" x14ac:dyDescent="0.2">
      <c r="A225" s="1387"/>
      <c r="B225" s="1387" t="s">
        <v>4355</v>
      </c>
      <c r="C225" s="1388" t="s">
        <v>1355</v>
      </c>
      <c r="D225" s="1388" t="s">
        <v>4357</v>
      </c>
      <c r="E225" s="1391">
        <v>2005</v>
      </c>
      <c r="F225" s="1388" t="s">
        <v>32</v>
      </c>
      <c r="G225" s="1389">
        <v>7051.98</v>
      </c>
      <c r="H225" s="1390">
        <v>290115.98</v>
      </c>
    </row>
    <row r="226" spans="1:8" x14ac:dyDescent="0.2">
      <c r="A226" s="1387"/>
      <c r="B226" s="1387" t="s">
        <v>4355</v>
      </c>
      <c r="C226" s="1388" t="s">
        <v>1355</v>
      </c>
      <c r="D226" s="1388" t="s">
        <v>4358</v>
      </c>
      <c r="E226" s="1391">
        <v>2005</v>
      </c>
      <c r="F226" s="1388" t="s">
        <v>32</v>
      </c>
      <c r="G226" s="1389">
        <v>13877.49</v>
      </c>
      <c r="H226" s="1390">
        <v>661525.99</v>
      </c>
    </row>
    <row r="227" spans="1:8" x14ac:dyDescent="0.2">
      <c r="A227" s="1387"/>
      <c r="B227" s="1387" t="s">
        <v>4355</v>
      </c>
      <c r="C227" s="1388" t="s">
        <v>1355</v>
      </c>
      <c r="D227" s="1388" t="s">
        <v>4359</v>
      </c>
      <c r="E227" s="1391">
        <v>2013</v>
      </c>
      <c r="F227" s="1388" t="s">
        <v>32</v>
      </c>
      <c r="G227" s="1389">
        <v>90973.42</v>
      </c>
      <c r="H227" s="1390">
        <v>215283.16</v>
      </c>
    </row>
    <row r="228" spans="1:8" x14ac:dyDescent="0.2">
      <c r="A228" s="1387"/>
      <c r="B228" s="1387" t="s">
        <v>4355</v>
      </c>
      <c r="C228" s="1388" t="s">
        <v>1355</v>
      </c>
      <c r="D228" s="1388" t="s">
        <v>4360</v>
      </c>
      <c r="E228" s="1391">
        <v>2015</v>
      </c>
      <c r="F228" s="1388" t="s">
        <v>32</v>
      </c>
      <c r="G228" s="1389">
        <v>83056</v>
      </c>
      <c r="H228" s="1390">
        <v>83056</v>
      </c>
    </row>
    <row r="229" spans="1:8" x14ac:dyDescent="0.2">
      <c r="A229" s="1387"/>
      <c r="B229" s="1387"/>
      <c r="C229" s="1388"/>
      <c r="D229" s="1388"/>
      <c r="E229" s="1388"/>
      <c r="F229" s="1388"/>
      <c r="G229" s="1389"/>
      <c r="H229" s="1390"/>
    </row>
    <row r="230" spans="1:8" x14ac:dyDescent="0.2">
      <c r="A230" s="1387" t="s">
        <v>37</v>
      </c>
      <c r="B230" s="1387"/>
      <c r="C230" s="1388"/>
      <c r="D230" s="1388"/>
      <c r="E230" s="1388"/>
      <c r="F230" s="1388"/>
      <c r="G230" s="1389"/>
      <c r="H230" s="1390"/>
    </row>
    <row r="231" spans="1:8" x14ac:dyDescent="0.2">
      <c r="A231" s="1387" t="s">
        <v>363</v>
      </c>
      <c r="B231" s="1387"/>
      <c r="C231" s="1388"/>
      <c r="D231" s="1388"/>
      <c r="E231" s="1388"/>
      <c r="F231" s="1388"/>
      <c r="G231" s="1389"/>
      <c r="H231" s="1390"/>
    </row>
    <row r="232" spans="1:8" x14ac:dyDescent="0.2">
      <c r="A232" s="1387"/>
      <c r="B232" s="1387"/>
      <c r="C232" s="1388"/>
      <c r="D232" s="1388"/>
      <c r="E232" s="1388"/>
      <c r="F232" s="1388"/>
      <c r="G232" s="1389"/>
      <c r="H232" s="1390"/>
    </row>
    <row r="233" spans="1:8" x14ac:dyDescent="0.2">
      <c r="A233" s="1387" t="s">
        <v>38</v>
      </c>
      <c r="B233" s="1387"/>
      <c r="C233" s="1388"/>
      <c r="D233" s="1388"/>
      <c r="E233" s="1388"/>
      <c r="F233" s="1388"/>
      <c r="G233" s="1389"/>
      <c r="H233" s="1390"/>
    </row>
    <row r="234" spans="1:8" x14ac:dyDescent="0.2">
      <c r="A234" s="1387"/>
      <c r="B234" s="1387"/>
      <c r="C234" s="1388"/>
      <c r="D234" s="1388"/>
      <c r="E234" s="1388"/>
      <c r="F234" s="1388"/>
      <c r="G234" s="1389"/>
      <c r="H234" s="1390"/>
    </row>
    <row r="235" spans="1:8" x14ac:dyDescent="0.2">
      <c r="A235" s="1387" t="s">
        <v>39</v>
      </c>
      <c r="B235" s="1387"/>
      <c r="C235" s="1388"/>
      <c r="D235" s="1388"/>
      <c r="E235" s="1388"/>
      <c r="F235" s="1388"/>
      <c r="G235" s="1389"/>
      <c r="H235" s="1390"/>
    </row>
    <row r="236" spans="1:8" x14ac:dyDescent="0.2">
      <c r="A236" s="1387"/>
      <c r="B236" s="1387"/>
      <c r="C236" s="1388"/>
      <c r="D236" s="1388"/>
      <c r="E236" s="1388"/>
      <c r="F236" s="1388"/>
      <c r="G236" s="1389"/>
      <c r="H236" s="1390"/>
    </row>
    <row r="237" spans="1:8" x14ac:dyDescent="0.2">
      <c r="A237" s="1387" t="s">
        <v>43</v>
      </c>
      <c r="B237" s="1387"/>
      <c r="C237" s="1388"/>
      <c r="D237" s="1388"/>
      <c r="E237" s="1388"/>
      <c r="F237" s="1388"/>
      <c r="G237" s="1389"/>
      <c r="H237" s="1390"/>
    </row>
    <row r="238" spans="1:8" x14ac:dyDescent="0.2">
      <c r="A238" s="1387" t="s">
        <v>44</v>
      </c>
      <c r="B238" s="1387" t="s">
        <v>4355</v>
      </c>
      <c r="C238" s="1388" t="s">
        <v>1355</v>
      </c>
      <c r="D238" s="1388" t="s">
        <v>4359</v>
      </c>
      <c r="E238" s="1388">
        <v>2013</v>
      </c>
      <c r="F238" s="1388" t="s">
        <v>32</v>
      </c>
      <c r="G238" s="1389">
        <v>204.52</v>
      </c>
      <c r="H238" s="1390">
        <v>206.1</v>
      </c>
    </row>
    <row r="239" spans="1:8" x14ac:dyDescent="0.2">
      <c r="A239" s="1387" t="s">
        <v>40</v>
      </c>
      <c r="B239" s="1387"/>
      <c r="C239" s="1388"/>
      <c r="D239" s="1388"/>
      <c r="E239" s="1388"/>
      <c r="F239" s="1388"/>
      <c r="G239" s="1389"/>
      <c r="H239" s="1390"/>
    </row>
    <row r="240" spans="1:8" x14ac:dyDescent="0.2">
      <c r="A240" s="1387" t="s">
        <v>41</v>
      </c>
      <c r="B240" s="1387"/>
      <c r="C240" s="1388"/>
      <c r="D240" s="1388"/>
      <c r="E240" s="1388"/>
      <c r="F240" s="1388"/>
      <c r="G240" s="1389"/>
      <c r="H240" s="1390"/>
    </row>
    <row r="241" spans="1:8" x14ac:dyDescent="0.2">
      <c r="A241" s="1387" t="s">
        <v>42</v>
      </c>
      <c r="B241" s="1387"/>
      <c r="C241" s="1388"/>
      <c r="D241" s="1388"/>
      <c r="E241" s="1388"/>
      <c r="F241" s="1388"/>
      <c r="G241" s="1389"/>
      <c r="H241" s="1390"/>
    </row>
    <row r="242" spans="1:8" x14ac:dyDescent="0.2">
      <c r="A242" s="1387" t="s">
        <v>362</v>
      </c>
      <c r="B242" s="1387"/>
      <c r="C242" s="1388"/>
      <c r="D242" s="1388"/>
      <c r="E242" s="1388"/>
      <c r="F242" s="1388"/>
      <c r="G242" s="1389"/>
      <c r="H242" s="1390"/>
    </row>
    <row r="243" spans="1:8" ht="12.75" thickBot="1" x14ac:dyDescent="0.25">
      <c r="A243" s="1392"/>
      <c r="B243" s="1392"/>
      <c r="C243" s="1393"/>
      <c r="D243" s="1393"/>
      <c r="E243" s="1393"/>
      <c r="F243" s="1393"/>
      <c r="G243" s="1394"/>
      <c r="H243" s="1395"/>
    </row>
    <row r="244" spans="1:8" ht="12.75" thickBot="1" x14ac:dyDescent="0.25">
      <c r="A244" s="1396" t="s">
        <v>0</v>
      </c>
      <c r="B244" s="1397"/>
      <c r="C244" s="1398"/>
      <c r="D244" s="1398"/>
      <c r="E244" s="1398"/>
      <c r="F244" s="1398"/>
      <c r="G244" s="1399">
        <f>SUM(G223:G243)</f>
        <v>195163.41</v>
      </c>
      <c r="H244" s="1399">
        <f>SUM(H223:H243)</f>
        <v>1250187.23</v>
      </c>
    </row>
    <row r="245" spans="1:8" x14ac:dyDescent="0.2">
      <c r="A245" s="359" t="s">
        <v>434</v>
      </c>
    </row>
    <row r="246" spans="1:8" x14ac:dyDescent="0.2">
      <c r="A246" s="359" t="s">
        <v>435</v>
      </c>
    </row>
  </sheetData>
  <mergeCells count="21">
    <mergeCell ref="A218:A219"/>
    <mergeCell ref="B218:B219"/>
    <mergeCell ref="C218:H218"/>
    <mergeCell ref="A146:A147"/>
    <mergeCell ref="B146:B147"/>
    <mergeCell ref="C146:H146"/>
    <mergeCell ref="A188:A189"/>
    <mergeCell ref="B188:B189"/>
    <mergeCell ref="C188:H188"/>
    <mergeCell ref="A89:A90"/>
    <mergeCell ref="B89:B90"/>
    <mergeCell ref="C89:H89"/>
    <mergeCell ref="A117:A118"/>
    <mergeCell ref="B117:B118"/>
    <mergeCell ref="C117:H117"/>
    <mergeCell ref="C4:H4"/>
    <mergeCell ref="B4:B5"/>
    <mergeCell ref="A4:A5"/>
    <mergeCell ref="A55:A56"/>
    <mergeCell ref="B55:B56"/>
    <mergeCell ref="C55:H55"/>
  </mergeCells>
  <printOptions horizontalCentered="1"/>
  <pageMargins left="0.25" right="0.25" top="0.44289215686274508" bottom="0.75" header="0.3" footer="0.3"/>
  <pageSetup paperSize="9" scale="15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5">
    <tabColor rgb="FF0070C0"/>
    <pageSetUpPr fitToPage="1"/>
  </sheetPr>
  <dimension ref="A1:V1554"/>
  <sheetViews>
    <sheetView view="pageLayout" topLeftCell="A1530" zoomScale="75" zoomScaleNormal="100" zoomScaleSheetLayoutView="100" zoomScalePageLayoutView="75" workbookViewId="0">
      <selection activeCell="A94" sqref="A94:W128"/>
    </sheetView>
  </sheetViews>
  <sheetFormatPr baseColWidth="10" defaultColWidth="11.42578125" defaultRowHeight="12" x14ac:dyDescent="0.2"/>
  <cols>
    <col min="1" max="7" width="18.7109375" style="3" customWidth="1"/>
    <col min="8" max="9" width="18.7109375" style="100" customWidth="1"/>
    <col min="10" max="10" width="18.7109375" style="3" customWidth="1"/>
    <col min="11" max="12" width="7.140625" style="68" customWidth="1"/>
    <col min="13" max="13" width="10.5703125" style="3" customWidth="1"/>
    <col min="14" max="15" width="7.140625" style="3" customWidth="1"/>
    <col min="16" max="16" width="10.85546875" style="3" customWidth="1"/>
    <col min="17" max="16384" width="11.42578125" style="3"/>
  </cols>
  <sheetData>
    <row r="1" spans="1:22" s="139" customFormat="1" x14ac:dyDescent="0.2">
      <c r="A1" s="164" t="s">
        <v>436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22" s="5" customFormat="1" x14ac:dyDescent="0.2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s="147" customFormat="1" ht="12.75" thickBot="1" x14ac:dyDescent="0.25">
      <c r="A3" s="15" t="s">
        <v>477</v>
      </c>
      <c r="K3" s="68"/>
      <c r="L3" s="68"/>
    </row>
    <row r="4" spans="1:22" s="94" customFormat="1" ht="12.75" customHeight="1" thickBot="1" x14ac:dyDescent="0.25">
      <c r="A4" s="1534" t="s">
        <v>147</v>
      </c>
      <c r="B4" s="1535"/>
      <c r="C4" s="1535"/>
      <c r="D4" s="1535"/>
      <c r="E4" s="1536"/>
      <c r="F4" s="1537" t="s">
        <v>148</v>
      </c>
      <c r="G4" s="1538"/>
      <c r="H4" s="1539"/>
      <c r="I4" s="1539"/>
      <c r="J4" s="1540"/>
      <c r="K4" s="1531" t="s">
        <v>370</v>
      </c>
      <c r="L4" s="1532"/>
      <c r="M4" s="1533"/>
      <c r="N4" s="1531" t="s">
        <v>371</v>
      </c>
      <c r="O4" s="1532"/>
      <c r="P4" s="1533"/>
    </row>
    <row r="5" spans="1:22" s="96" customFormat="1" ht="80.099999999999994" customHeight="1" thickBot="1" x14ac:dyDescent="0.25">
      <c r="A5" s="266" t="s">
        <v>105</v>
      </c>
      <c r="B5" s="267" t="s">
        <v>8</v>
      </c>
      <c r="C5" s="267" t="s">
        <v>102</v>
      </c>
      <c r="D5" s="268" t="s">
        <v>106</v>
      </c>
      <c r="E5" s="269" t="s">
        <v>128</v>
      </c>
      <c r="F5" s="266" t="s">
        <v>135</v>
      </c>
      <c r="G5" s="268" t="s">
        <v>136</v>
      </c>
      <c r="H5" s="268" t="s">
        <v>150</v>
      </c>
      <c r="I5" s="267" t="s">
        <v>151</v>
      </c>
      <c r="J5" s="270" t="s">
        <v>140</v>
      </c>
      <c r="K5" s="271" t="s">
        <v>137</v>
      </c>
      <c r="L5" s="272" t="s">
        <v>138</v>
      </c>
      <c r="M5" s="273" t="s">
        <v>139</v>
      </c>
      <c r="N5" s="271" t="s">
        <v>137</v>
      </c>
      <c r="O5" s="272" t="s">
        <v>138</v>
      </c>
      <c r="P5" s="273" t="s">
        <v>139</v>
      </c>
    </row>
    <row r="6" spans="1:22" ht="24" x14ac:dyDescent="0.2">
      <c r="A6" s="431" t="s">
        <v>539</v>
      </c>
      <c r="B6" s="473" t="s">
        <v>540</v>
      </c>
      <c r="C6" s="431" t="s">
        <v>541</v>
      </c>
      <c r="D6" s="474" t="s">
        <v>542</v>
      </c>
      <c r="E6" s="475">
        <v>3000</v>
      </c>
      <c r="F6" s="431" t="s">
        <v>543</v>
      </c>
      <c r="G6" s="476" t="s">
        <v>544</v>
      </c>
      <c r="H6" s="477" t="s">
        <v>545</v>
      </c>
      <c r="I6" s="477" t="s">
        <v>546</v>
      </c>
      <c r="J6" s="478" t="s">
        <v>545</v>
      </c>
      <c r="K6" s="473">
        <v>1</v>
      </c>
      <c r="L6" s="431">
        <v>12</v>
      </c>
      <c r="M6" s="475">
        <v>36600</v>
      </c>
      <c r="N6" s="473">
        <v>1</v>
      </c>
      <c r="O6" s="431">
        <v>6</v>
      </c>
      <c r="P6" s="475">
        <v>18000</v>
      </c>
    </row>
    <row r="7" spans="1:22" x14ac:dyDescent="0.2">
      <c r="A7" s="431" t="s">
        <v>539</v>
      </c>
      <c r="B7" s="473" t="s">
        <v>540</v>
      </c>
      <c r="C7" s="431" t="s">
        <v>541</v>
      </c>
      <c r="D7" s="474" t="s">
        <v>547</v>
      </c>
      <c r="E7" s="475">
        <v>2000</v>
      </c>
      <c r="F7" s="431" t="s">
        <v>548</v>
      </c>
      <c r="G7" s="476" t="s">
        <v>549</v>
      </c>
      <c r="H7" s="477" t="s">
        <v>550</v>
      </c>
      <c r="I7" s="477" t="s">
        <v>550</v>
      </c>
      <c r="J7" s="478" t="s">
        <v>550</v>
      </c>
      <c r="K7" s="473">
        <v>1</v>
      </c>
      <c r="L7" s="431">
        <v>5</v>
      </c>
      <c r="M7" s="475">
        <v>11366.67</v>
      </c>
      <c r="N7" s="473">
        <v>1</v>
      </c>
      <c r="O7" s="431">
        <v>2</v>
      </c>
      <c r="P7" s="475">
        <v>2666.67</v>
      </c>
    </row>
    <row r="8" spans="1:22" ht="48" x14ac:dyDescent="0.2">
      <c r="A8" s="431" t="s">
        <v>539</v>
      </c>
      <c r="B8" s="473" t="s">
        <v>540</v>
      </c>
      <c r="C8" s="431" t="s">
        <v>541</v>
      </c>
      <c r="D8" s="474" t="s">
        <v>551</v>
      </c>
      <c r="E8" s="475">
        <v>5500</v>
      </c>
      <c r="F8" s="431" t="s">
        <v>552</v>
      </c>
      <c r="G8" s="476" t="s">
        <v>553</v>
      </c>
      <c r="H8" s="477" t="s">
        <v>554</v>
      </c>
      <c r="I8" s="477" t="s">
        <v>555</v>
      </c>
      <c r="J8" s="477" t="s">
        <v>554</v>
      </c>
      <c r="K8" s="473">
        <v>1</v>
      </c>
      <c r="L8" s="431">
        <v>12</v>
      </c>
      <c r="M8" s="475">
        <v>66600</v>
      </c>
      <c r="N8" s="473">
        <v>1</v>
      </c>
      <c r="O8" s="431">
        <v>6</v>
      </c>
      <c r="P8" s="475">
        <v>33000</v>
      </c>
    </row>
    <row r="9" spans="1:22" ht="24" x14ac:dyDescent="0.2">
      <c r="A9" s="431" t="s">
        <v>539</v>
      </c>
      <c r="B9" s="473" t="s">
        <v>540</v>
      </c>
      <c r="C9" s="431" t="s">
        <v>541</v>
      </c>
      <c r="D9" s="474" t="s">
        <v>542</v>
      </c>
      <c r="E9" s="475">
        <v>2475</v>
      </c>
      <c r="F9" s="431" t="s">
        <v>556</v>
      </c>
      <c r="G9" s="476" t="s">
        <v>557</v>
      </c>
      <c r="H9" s="477" t="s">
        <v>550</v>
      </c>
      <c r="I9" s="477" t="s">
        <v>550</v>
      </c>
      <c r="J9" s="478" t="s">
        <v>550</v>
      </c>
      <c r="K9" s="473">
        <v>1</v>
      </c>
      <c r="L9" s="431">
        <v>1</v>
      </c>
      <c r="M9" s="475">
        <v>2392.5</v>
      </c>
      <c r="N9" s="473">
        <v>1</v>
      </c>
      <c r="O9" s="431">
        <v>4</v>
      </c>
      <c r="P9" s="475">
        <v>9900</v>
      </c>
    </row>
    <row r="10" spans="1:22" ht="24" x14ac:dyDescent="0.2">
      <c r="A10" s="431" t="s">
        <v>539</v>
      </c>
      <c r="B10" s="473" t="s">
        <v>540</v>
      </c>
      <c r="C10" s="431" t="s">
        <v>541</v>
      </c>
      <c r="D10" s="474" t="s">
        <v>558</v>
      </c>
      <c r="E10" s="475">
        <v>2000</v>
      </c>
      <c r="F10" s="431" t="s">
        <v>559</v>
      </c>
      <c r="G10" s="476" t="s">
        <v>560</v>
      </c>
      <c r="H10" s="477" t="s">
        <v>561</v>
      </c>
      <c r="I10" s="477" t="s">
        <v>562</v>
      </c>
      <c r="J10" s="478" t="s">
        <v>561</v>
      </c>
      <c r="K10" s="473">
        <v>1</v>
      </c>
      <c r="L10" s="431">
        <v>2</v>
      </c>
      <c r="M10" s="475">
        <v>4633.33</v>
      </c>
      <c r="N10" s="473">
        <v>1</v>
      </c>
      <c r="O10" s="431">
        <v>6</v>
      </c>
      <c r="P10" s="475">
        <v>12000</v>
      </c>
    </row>
    <row r="11" spans="1:22" ht="24" x14ac:dyDescent="0.2">
      <c r="A11" s="431" t="s">
        <v>539</v>
      </c>
      <c r="B11" s="473" t="s">
        <v>540</v>
      </c>
      <c r="C11" s="431" t="s">
        <v>541</v>
      </c>
      <c r="D11" s="474" t="s">
        <v>563</v>
      </c>
      <c r="E11" s="475">
        <v>5550</v>
      </c>
      <c r="F11" s="431" t="s">
        <v>564</v>
      </c>
      <c r="G11" s="476" t="s">
        <v>565</v>
      </c>
      <c r="H11" s="477" t="s">
        <v>566</v>
      </c>
      <c r="I11" s="477" t="s">
        <v>546</v>
      </c>
      <c r="J11" s="477" t="s">
        <v>566</v>
      </c>
      <c r="K11" s="473">
        <v>1</v>
      </c>
      <c r="L11" s="431">
        <v>2</v>
      </c>
      <c r="M11" s="475">
        <v>12680</v>
      </c>
      <c r="N11" s="473">
        <v>1</v>
      </c>
      <c r="O11" s="431">
        <v>6</v>
      </c>
      <c r="P11" s="475">
        <v>33300</v>
      </c>
    </row>
    <row r="12" spans="1:22" ht="36" x14ac:dyDescent="0.2">
      <c r="A12" s="431" t="s">
        <v>539</v>
      </c>
      <c r="B12" s="473" t="s">
        <v>540</v>
      </c>
      <c r="C12" s="431" t="s">
        <v>541</v>
      </c>
      <c r="D12" s="474" t="s">
        <v>567</v>
      </c>
      <c r="E12" s="475">
        <v>3800</v>
      </c>
      <c r="F12" s="431" t="s">
        <v>568</v>
      </c>
      <c r="G12" s="476" t="s">
        <v>569</v>
      </c>
      <c r="H12" s="477" t="s">
        <v>550</v>
      </c>
      <c r="I12" s="477" t="s">
        <v>550</v>
      </c>
      <c r="J12" s="477" t="s">
        <v>550</v>
      </c>
      <c r="K12" s="473">
        <v>1</v>
      </c>
      <c r="L12" s="431">
        <v>12</v>
      </c>
      <c r="M12" s="475">
        <v>46200</v>
      </c>
      <c r="N12" s="473">
        <v>1</v>
      </c>
      <c r="O12" s="431">
        <v>1</v>
      </c>
      <c r="P12" s="475">
        <v>3800</v>
      </c>
    </row>
    <row r="13" spans="1:22" ht="24" x14ac:dyDescent="0.2">
      <c r="A13" s="431" t="s">
        <v>539</v>
      </c>
      <c r="B13" s="473" t="s">
        <v>540</v>
      </c>
      <c r="C13" s="431" t="s">
        <v>541</v>
      </c>
      <c r="D13" s="474" t="s">
        <v>570</v>
      </c>
      <c r="E13" s="475">
        <v>1850</v>
      </c>
      <c r="F13" s="431" t="s">
        <v>571</v>
      </c>
      <c r="G13" s="476" t="s">
        <v>572</v>
      </c>
      <c r="H13" s="477" t="s">
        <v>573</v>
      </c>
      <c r="I13" s="477" t="s">
        <v>546</v>
      </c>
      <c r="J13" s="478" t="s">
        <v>573</v>
      </c>
      <c r="K13" s="473">
        <v>1</v>
      </c>
      <c r="L13" s="431">
        <v>1</v>
      </c>
      <c r="M13" s="475">
        <v>1788.33</v>
      </c>
      <c r="N13" s="473">
        <v>1</v>
      </c>
      <c r="O13" s="431">
        <v>6</v>
      </c>
      <c r="P13" s="475">
        <v>11100</v>
      </c>
    </row>
    <row r="14" spans="1:22" ht="24" x14ac:dyDescent="0.2">
      <c r="A14" s="431" t="s">
        <v>539</v>
      </c>
      <c r="B14" s="473" t="s">
        <v>540</v>
      </c>
      <c r="C14" s="431" t="s">
        <v>541</v>
      </c>
      <c r="D14" s="474" t="s">
        <v>542</v>
      </c>
      <c r="E14" s="475">
        <v>2500</v>
      </c>
      <c r="F14" s="431" t="s">
        <v>574</v>
      </c>
      <c r="G14" s="476" t="s">
        <v>575</v>
      </c>
      <c r="H14" s="477" t="s">
        <v>561</v>
      </c>
      <c r="I14" s="477" t="s">
        <v>562</v>
      </c>
      <c r="J14" s="478" t="s">
        <v>561</v>
      </c>
      <c r="K14" s="473">
        <v>1</v>
      </c>
      <c r="L14" s="431">
        <v>12</v>
      </c>
      <c r="M14" s="475">
        <v>30600</v>
      </c>
      <c r="N14" s="473">
        <v>1</v>
      </c>
      <c r="O14" s="431">
        <v>6</v>
      </c>
      <c r="P14" s="475">
        <v>15000</v>
      </c>
    </row>
    <row r="15" spans="1:22" ht="36" x14ac:dyDescent="0.2">
      <c r="A15" s="431" t="s">
        <v>539</v>
      </c>
      <c r="B15" s="473" t="s">
        <v>540</v>
      </c>
      <c r="C15" s="431" t="s">
        <v>541</v>
      </c>
      <c r="D15" s="474" t="s">
        <v>576</v>
      </c>
      <c r="E15" s="475">
        <v>1850</v>
      </c>
      <c r="F15" s="431" t="s">
        <v>577</v>
      </c>
      <c r="G15" s="476" t="s">
        <v>578</v>
      </c>
      <c r="H15" s="477" t="s">
        <v>579</v>
      </c>
      <c r="I15" s="477" t="s">
        <v>580</v>
      </c>
      <c r="J15" s="478" t="s">
        <v>580</v>
      </c>
      <c r="K15" s="473">
        <v>1</v>
      </c>
      <c r="L15" s="431">
        <v>12</v>
      </c>
      <c r="M15" s="475">
        <v>22800</v>
      </c>
      <c r="N15" s="473">
        <v>1</v>
      </c>
      <c r="O15" s="431">
        <v>6</v>
      </c>
      <c r="P15" s="475">
        <v>11100</v>
      </c>
    </row>
    <row r="16" spans="1:22" x14ac:dyDescent="0.2">
      <c r="A16" s="431" t="s">
        <v>539</v>
      </c>
      <c r="B16" s="473" t="s">
        <v>540</v>
      </c>
      <c r="C16" s="431" t="s">
        <v>541</v>
      </c>
      <c r="D16" s="474" t="s">
        <v>581</v>
      </c>
      <c r="E16" s="475">
        <v>4550</v>
      </c>
      <c r="F16" s="431" t="s">
        <v>582</v>
      </c>
      <c r="G16" s="476" t="s">
        <v>583</v>
      </c>
      <c r="H16" s="477" t="s">
        <v>550</v>
      </c>
      <c r="I16" s="477" t="s">
        <v>550</v>
      </c>
      <c r="J16" s="477" t="s">
        <v>550</v>
      </c>
      <c r="K16" s="473">
        <v>1</v>
      </c>
      <c r="L16" s="431">
        <v>1</v>
      </c>
      <c r="M16" s="475">
        <v>4398.33</v>
      </c>
      <c r="N16" s="473">
        <v>1</v>
      </c>
      <c r="O16" s="431">
        <v>6</v>
      </c>
      <c r="P16" s="475">
        <v>27300</v>
      </c>
    </row>
    <row r="17" spans="1:16" ht="24" x14ac:dyDescent="0.2">
      <c r="A17" s="431" t="s">
        <v>539</v>
      </c>
      <c r="B17" s="473" t="s">
        <v>540</v>
      </c>
      <c r="C17" s="431" t="s">
        <v>541</v>
      </c>
      <c r="D17" s="474" t="s">
        <v>584</v>
      </c>
      <c r="E17" s="475">
        <v>3225</v>
      </c>
      <c r="F17" s="431" t="s">
        <v>585</v>
      </c>
      <c r="G17" s="476" t="s">
        <v>586</v>
      </c>
      <c r="H17" s="477" t="s">
        <v>550</v>
      </c>
      <c r="I17" s="477" t="s">
        <v>550</v>
      </c>
      <c r="J17" s="478" t="s">
        <v>550</v>
      </c>
      <c r="K17" s="473">
        <v>1</v>
      </c>
      <c r="L17" s="431">
        <v>1</v>
      </c>
      <c r="M17" s="475">
        <v>3440</v>
      </c>
      <c r="N17" s="473">
        <v>1</v>
      </c>
      <c r="O17" s="431">
        <v>6</v>
      </c>
      <c r="P17" s="475">
        <v>19350</v>
      </c>
    </row>
    <row r="18" spans="1:16" x14ac:dyDescent="0.2">
      <c r="A18" s="431" t="s">
        <v>539</v>
      </c>
      <c r="B18" s="473" t="s">
        <v>540</v>
      </c>
      <c r="C18" s="431" t="s">
        <v>541</v>
      </c>
      <c r="D18" s="474" t="s">
        <v>587</v>
      </c>
      <c r="E18" s="475">
        <v>2300</v>
      </c>
      <c r="F18" s="431" t="s">
        <v>588</v>
      </c>
      <c r="G18" s="476" t="s">
        <v>589</v>
      </c>
      <c r="H18" s="477" t="s">
        <v>550</v>
      </c>
      <c r="I18" s="477" t="s">
        <v>550</v>
      </c>
      <c r="J18" s="478" t="s">
        <v>550</v>
      </c>
      <c r="K18" s="473">
        <v>1</v>
      </c>
      <c r="L18" s="431">
        <v>5</v>
      </c>
      <c r="M18" s="475">
        <v>13026.67</v>
      </c>
      <c r="N18" s="473">
        <v>0</v>
      </c>
      <c r="O18" s="431">
        <v>0</v>
      </c>
      <c r="P18" s="475">
        <v>0</v>
      </c>
    </row>
    <row r="19" spans="1:16" ht="36" x14ac:dyDescent="0.2">
      <c r="A19" s="431" t="s">
        <v>539</v>
      </c>
      <c r="B19" s="473" t="s">
        <v>540</v>
      </c>
      <c r="C19" s="431" t="s">
        <v>541</v>
      </c>
      <c r="D19" s="474" t="s">
        <v>590</v>
      </c>
      <c r="E19" s="475">
        <v>3300</v>
      </c>
      <c r="F19" s="431" t="s">
        <v>591</v>
      </c>
      <c r="G19" s="476" t="s">
        <v>592</v>
      </c>
      <c r="H19" s="477" t="s">
        <v>550</v>
      </c>
      <c r="I19" s="477" t="s">
        <v>550</v>
      </c>
      <c r="J19" s="477" t="s">
        <v>550</v>
      </c>
      <c r="K19" s="473">
        <v>1</v>
      </c>
      <c r="L19" s="431">
        <v>12</v>
      </c>
      <c r="M19" s="475">
        <v>40200</v>
      </c>
      <c r="N19" s="473">
        <v>1</v>
      </c>
      <c r="O19" s="431">
        <v>6</v>
      </c>
      <c r="P19" s="475">
        <v>19800</v>
      </c>
    </row>
    <row r="20" spans="1:16" ht="36" x14ac:dyDescent="0.2">
      <c r="A20" s="431" t="s">
        <v>539</v>
      </c>
      <c r="B20" s="473" t="s">
        <v>540</v>
      </c>
      <c r="C20" s="431" t="s">
        <v>541</v>
      </c>
      <c r="D20" s="474" t="s">
        <v>593</v>
      </c>
      <c r="E20" s="475">
        <v>3225</v>
      </c>
      <c r="F20" s="431" t="s">
        <v>594</v>
      </c>
      <c r="G20" s="476" t="s">
        <v>595</v>
      </c>
      <c r="H20" s="477" t="s">
        <v>550</v>
      </c>
      <c r="I20" s="477" t="s">
        <v>550</v>
      </c>
      <c r="J20" s="478" t="s">
        <v>550</v>
      </c>
      <c r="K20" s="473">
        <v>0</v>
      </c>
      <c r="L20" s="431">
        <v>0</v>
      </c>
      <c r="M20" s="475">
        <v>0</v>
      </c>
      <c r="N20" s="473">
        <v>1</v>
      </c>
      <c r="O20" s="431">
        <v>1</v>
      </c>
      <c r="P20" s="475">
        <v>2580</v>
      </c>
    </row>
    <row r="21" spans="1:16" ht="48" x14ac:dyDescent="0.2">
      <c r="A21" s="431" t="s">
        <v>539</v>
      </c>
      <c r="B21" s="473" t="s">
        <v>596</v>
      </c>
      <c r="C21" s="431" t="s">
        <v>541</v>
      </c>
      <c r="D21" s="474" t="s">
        <v>597</v>
      </c>
      <c r="E21" s="475">
        <v>5550</v>
      </c>
      <c r="F21" s="431" t="s">
        <v>598</v>
      </c>
      <c r="G21" s="476" t="s">
        <v>599</v>
      </c>
      <c r="H21" s="477" t="s">
        <v>550</v>
      </c>
      <c r="I21" s="477" t="s">
        <v>550</v>
      </c>
      <c r="J21" s="477" t="s">
        <v>550</v>
      </c>
      <c r="K21" s="473">
        <v>1</v>
      </c>
      <c r="L21" s="431">
        <v>1</v>
      </c>
      <c r="M21" s="475">
        <v>3700</v>
      </c>
      <c r="N21" s="473">
        <v>1</v>
      </c>
      <c r="O21" s="431">
        <v>6</v>
      </c>
      <c r="P21" s="475">
        <v>33300</v>
      </c>
    </row>
    <row r="22" spans="1:16" ht="24" x14ac:dyDescent="0.2">
      <c r="A22" s="431" t="s">
        <v>539</v>
      </c>
      <c r="B22" s="473" t="s">
        <v>540</v>
      </c>
      <c r="C22" s="431" t="s">
        <v>541</v>
      </c>
      <c r="D22" s="474" t="s">
        <v>600</v>
      </c>
      <c r="E22" s="475">
        <v>5550</v>
      </c>
      <c r="F22" s="431" t="s">
        <v>601</v>
      </c>
      <c r="G22" s="476" t="s">
        <v>602</v>
      </c>
      <c r="H22" s="477" t="s">
        <v>603</v>
      </c>
      <c r="I22" s="477" t="s">
        <v>546</v>
      </c>
      <c r="J22" s="478" t="s">
        <v>603</v>
      </c>
      <c r="K22" s="473">
        <v>1</v>
      </c>
      <c r="L22" s="431">
        <v>1</v>
      </c>
      <c r="M22" s="475">
        <v>5920</v>
      </c>
      <c r="N22" s="473">
        <v>1</v>
      </c>
      <c r="O22" s="431">
        <v>6</v>
      </c>
      <c r="P22" s="475">
        <v>33300</v>
      </c>
    </row>
    <row r="23" spans="1:16" ht="24" x14ac:dyDescent="0.2">
      <c r="A23" s="431" t="s">
        <v>539</v>
      </c>
      <c r="B23" s="473" t="s">
        <v>540</v>
      </c>
      <c r="C23" s="431" t="s">
        <v>541</v>
      </c>
      <c r="D23" s="474" t="s">
        <v>558</v>
      </c>
      <c r="E23" s="475">
        <v>2000</v>
      </c>
      <c r="F23" s="431" t="s">
        <v>604</v>
      </c>
      <c r="G23" s="476" t="s">
        <v>605</v>
      </c>
      <c r="H23" s="477" t="s">
        <v>561</v>
      </c>
      <c r="I23" s="477" t="s">
        <v>562</v>
      </c>
      <c r="J23" s="478" t="s">
        <v>561</v>
      </c>
      <c r="K23" s="473">
        <v>1</v>
      </c>
      <c r="L23" s="431">
        <v>2</v>
      </c>
      <c r="M23" s="475">
        <v>4633.33</v>
      </c>
      <c r="N23" s="473">
        <v>1</v>
      </c>
      <c r="O23" s="431">
        <v>6</v>
      </c>
      <c r="P23" s="475">
        <v>12000</v>
      </c>
    </row>
    <row r="24" spans="1:16" x14ac:dyDescent="0.2">
      <c r="A24" s="431" t="s">
        <v>539</v>
      </c>
      <c r="B24" s="473" t="s">
        <v>540</v>
      </c>
      <c r="C24" s="431" t="s">
        <v>541</v>
      </c>
      <c r="D24" s="474" t="s">
        <v>606</v>
      </c>
      <c r="E24" s="475">
        <v>6025</v>
      </c>
      <c r="F24" s="431" t="s">
        <v>607</v>
      </c>
      <c r="G24" s="476" t="s">
        <v>608</v>
      </c>
      <c r="H24" s="477" t="s">
        <v>609</v>
      </c>
      <c r="I24" s="477" t="s">
        <v>610</v>
      </c>
      <c r="J24" s="478" t="s">
        <v>610</v>
      </c>
      <c r="K24" s="473">
        <v>1</v>
      </c>
      <c r="L24" s="431">
        <v>12</v>
      </c>
      <c r="M24" s="475">
        <v>55624.17</v>
      </c>
      <c r="N24" s="473">
        <v>1</v>
      </c>
      <c r="O24" s="431">
        <v>6</v>
      </c>
      <c r="P24" s="475">
        <v>36150</v>
      </c>
    </row>
    <row r="25" spans="1:16" x14ac:dyDescent="0.2">
      <c r="A25" s="431" t="s">
        <v>539</v>
      </c>
      <c r="B25" s="473" t="s">
        <v>540</v>
      </c>
      <c r="C25" s="431" t="s">
        <v>541</v>
      </c>
      <c r="D25" s="474" t="s">
        <v>606</v>
      </c>
      <c r="E25" s="475">
        <v>5500</v>
      </c>
      <c r="F25" s="431" t="s">
        <v>611</v>
      </c>
      <c r="G25" s="476" t="s">
        <v>612</v>
      </c>
      <c r="H25" s="477" t="s">
        <v>609</v>
      </c>
      <c r="I25" s="477" t="s">
        <v>610</v>
      </c>
      <c r="J25" s="478" t="s">
        <v>610</v>
      </c>
      <c r="K25" s="473">
        <v>1</v>
      </c>
      <c r="L25" s="431">
        <v>12</v>
      </c>
      <c r="M25" s="475">
        <v>66600</v>
      </c>
      <c r="N25" s="473">
        <v>1</v>
      </c>
      <c r="O25" s="431">
        <v>6</v>
      </c>
      <c r="P25" s="475">
        <v>33000</v>
      </c>
    </row>
    <row r="26" spans="1:16" ht="24" x14ac:dyDescent="0.2">
      <c r="A26" s="431" t="s">
        <v>539</v>
      </c>
      <c r="B26" s="473" t="s">
        <v>540</v>
      </c>
      <c r="C26" s="431" t="s">
        <v>541</v>
      </c>
      <c r="D26" s="474" t="s">
        <v>613</v>
      </c>
      <c r="E26" s="475">
        <v>3000</v>
      </c>
      <c r="F26" s="431" t="s">
        <v>614</v>
      </c>
      <c r="G26" s="476" t="s">
        <v>615</v>
      </c>
      <c r="H26" s="477" t="s">
        <v>561</v>
      </c>
      <c r="I26" s="477" t="s">
        <v>562</v>
      </c>
      <c r="J26" s="478" t="s">
        <v>561</v>
      </c>
      <c r="K26" s="473">
        <v>1</v>
      </c>
      <c r="L26" s="431">
        <v>12</v>
      </c>
      <c r="M26" s="475">
        <v>36600</v>
      </c>
      <c r="N26" s="473">
        <v>1</v>
      </c>
      <c r="O26" s="431">
        <v>6</v>
      </c>
      <c r="P26" s="475">
        <v>18000</v>
      </c>
    </row>
    <row r="27" spans="1:16" ht="24" x14ac:dyDescent="0.2">
      <c r="A27" s="431" t="s">
        <v>539</v>
      </c>
      <c r="B27" s="473" t="s">
        <v>540</v>
      </c>
      <c r="C27" s="431" t="s">
        <v>541</v>
      </c>
      <c r="D27" s="474" t="s">
        <v>616</v>
      </c>
      <c r="E27" s="475">
        <v>2300</v>
      </c>
      <c r="F27" s="431" t="s">
        <v>617</v>
      </c>
      <c r="G27" s="476" t="s">
        <v>618</v>
      </c>
      <c r="H27" s="477" t="s">
        <v>561</v>
      </c>
      <c r="I27" s="477" t="s">
        <v>562</v>
      </c>
      <c r="J27" s="478" t="s">
        <v>561</v>
      </c>
      <c r="K27" s="473">
        <v>1</v>
      </c>
      <c r="L27" s="431">
        <v>12</v>
      </c>
      <c r="M27" s="475">
        <v>28200</v>
      </c>
      <c r="N27" s="473">
        <v>1</v>
      </c>
      <c r="O27" s="431">
        <v>6</v>
      </c>
      <c r="P27" s="475">
        <v>13800</v>
      </c>
    </row>
    <row r="28" spans="1:16" ht="24" x14ac:dyDescent="0.2">
      <c r="A28" s="431" t="s">
        <v>539</v>
      </c>
      <c r="B28" s="473" t="s">
        <v>540</v>
      </c>
      <c r="C28" s="431" t="s">
        <v>541</v>
      </c>
      <c r="D28" s="474" t="s">
        <v>619</v>
      </c>
      <c r="E28" s="475">
        <v>1700</v>
      </c>
      <c r="F28" s="431" t="s">
        <v>620</v>
      </c>
      <c r="G28" s="476" t="s">
        <v>621</v>
      </c>
      <c r="H28" s="477" t="s">
        <v>561</v>
      </c>
      <c r="I28" s="477" t="s">
        <v>562</v>
      </c>
      <c r="J28" s="478" t="s">
        <v>561</v>
      </c>
      <c r="K28" s="473">
        <v>1</v>
      </c>
      <c r="L28" s="431">
        <v>12</v>
      </c>
      <c r="M28" s="475">
        <v>21000</v>
      </c>
      <c r="N28" s="473">
        <v>1</v>
      </c>
      <c r="O28" s="431">
        <v>6</v>
      </c>
      <c r="P28" s="475">
        <v>10200</v>
      </c>
    </row>
    <row r="29" spans="1:16" x14ac:dyDescent="0.2">
      <c r="A29" s="431" t="s">
        <v>539</v>
      </c>
      <c r="B29" s="473" t="s">
        <v>540</v>
      </c>
      <c r="C29" s="431" t="s">
        <v>541</v>
      </c>
      <c r="D29" s="474" t="s">
        <v>587</v>
      </c>
      <c r="E29" s="475">
        <v>3300</v>
      </c>
      <c r="F29" s="431" t="s">
        <v>622</v>
      </c>
      <c r="G29" s="476" t="s">
        <v>623</v>
      </c>
      <c r="H29" s="477" t="s">
        <v>624</v>
      </c>
      <c r="I29" s="477" t="s">
        <v>580</v>
      </c>
      <c r="J29" s="478" t="s">
        <v>580</v>
      </c>
      <c r="K29" s="473">
        <v>1</v>
      </c>
      <c r="L29" s="431">
        <v>12</v>
      </c>
      <c r="M29" s="475">
        <v>36042</v>
      </c>
      <c r="N29" s="473">
        <v>1</v>
      </c>
      <c r="O29" s="431">
        <v>6</v>
      </c>
      <c r="P29" s="475">
        <v>19800</v>
      </c>
    </row>
    <row r="30" spans="1:16" ht="24" x14ac:dyDescent="0.2">
      <c r="A30" s="431" t="s">
        <v>539</v>
      </c>
      <c r="B30" s="473" t="s">
        <v>540</v>
      </c>
      <c r="C30" s="431" t="s">
        <v>541</v>
      </c>
      <c r="D30" s="474" t="s">
        <v>625</v>
      </c>
      <c r="E30" s="475">
        <v>2500</v>
      </c>
      <c r="F30" s="431" t="s">
        <v>626</v>
      </c>
      <c r="G30" s="476" t="s">
        <v>627</v>
      </c>
      <c r="H30" s="477" t="s">
        <v>561</v>
      </c>
      <c r="I30" s="477" t="s">
        <v>562</v>
      </c>
      <c r="J30" s="478" t="s">
        <v>561</v>
      </c>
      <c r="K30" s="473">
        <v>1</v>
      </c>
      <c r="L30" s="431">
        <v>12</v>
      </c>
      <c r="M30" s="475">
        <v>30600</v>
      </c>
      <c r="N30" s="473">
        <v>1</v>
      </c>
      <c r="O30" s="431">
        <v>6</v>
      </c>
      <c r="P30" s="475">
        <v>15000</v>
      </c>
    </row>
    <row r="31" spans="1:16" ht="48" x14ac:dyDescent="0.2">
      <c r="A31" s="431" t="s">
        <v>539</v>
      </c>
      <c r="B31" s="473" t="s">
        <v>540</v>
      </c>
      <c r="C31" s="431" t="s">
        <v>541</v>
      </c>
      <c r="D31" s="474" t="s">
        <v>628</v>
      </c>
      <c r="E31" s="475">
        <v>5000</v>
      </c>
      <c r="F31" s="431" t="s">
        <v>629</v>
      </c>
      <c r="G31" s="476" t="s">
        <v>630</v>
      </c>
      <c r="H31" s="477" t="s">
        <v>561</v>
      </c>
      <c r="I31" s="477" t="s">
        <v>562</v>
      </c>
      <c r="J31" s="478" t="s">
        <v>561</v>
      </c>
      <c r="K31" s="473">
        <v>0</v>
      </c>
      <c r="L31" s="431">
        <v>0</v>
      </c>
      <c r="M31" s="475">
        <v>0</v>
      </c>
      <c r="N31" s="473">
        <v>1</v>
      </c>
      <c r="O31" s="431">
        <v>5</v>
      </c>
      <c r="P31" s="475">
        <v>24333.33</v>
      </c>
    </row>
    <row r="32" spans="1:16" ht="24" x14ac:dyDescent="0.2">
      <c r="A32" s="431" t="s">
        <v>539</v>
      </c>
      <c r="B32" s="473" t="s">
        <v>540</v>
      </c>
      <c r="C32" s="431" t="s">
        <v>541</v>
      </c>
      <c r="D32" s="474" t="s">
        <v>619</v>
      </c>
      <c r="E32" s="475">
        <v>2500</v>
      </c>
      <c r="F32" s="431" t="s">
        <v>631</v>
      </c>
      <c r="G32" s="476" t="s">
        <v>632</v>
      </c>
      <c r="H32" s="477" t="s">
        <v>550</v>
      </c>
      <c r="I32" s="477" t="s">
        <v>550</v>
      </c>
      <c r="J32" s="478" t="s">
        <v>550</v>
      </c>
      <c r="K32" s="473">
        <v>1</v>
      </c>
      <c r="L32" s="431">
        <v>12</v>
      </c>
      <c r="M32" s="475">
        <v>30600</v>
      </c>
      <c r="N32" s="473">
        <v>0</v>
      </c>
      <c r="O32" s="431">
        <v>0</v>
      </c>
      <c r="P32" s="475">
        <v>0</v>
      </c>
    </row>
    <row r="33" spans="1:16" ht="24" x14ac:dyDescent="0.2">
      <c r="A33" s="431" t="s">
        <v>539</v>
      </c>
      <c r="B33" s="473" t="s">
        <v>540</v>
      </c>
      <c r="C33" s="431" t="s">
        <v>541</v>
      </c>
      <c r="D33" s="474" t="s">
        <v>542</v>
      </c>
      <c r="E33" s="475">
        <v>3000</v>
      </c>
      <c r="F33" s="431" t="s">
        <v>633</v>
      </c>
      <c r="G33" s="476" t="s">
        <v>634</v>
      </c>
      <c r="H33" s="477" t="s">
        <v>561</v>
      </c>
      <c r="I33" s="477" t="s">
        <v>562</v>
      </c>
      <c r="J33" s="478" t="s">
        <v>561</v>
      </c>
      <c r="K33" s="473">
        <v>1</v>
      </c>
      <c r="L33" s="431">
        <v>12</v>
      </c>
      <c r="M33" s="475">
        <v>36600</v>
      </c>
      <c r="N33" s="473">
        <v>1</v>
      </c>
      <c r="O33" s="431">
        <v>6</v>
      </c>
      <c r="P33" s="475">
        <v>18000</v>
      </c>
    </row>
    <row r="34" spans="1:16" x14ac:dyDescent="0.2">
      <c r="A34" s="431" t="s">
        <v>539</v>
      </c>
      <c r="B34" s="473" t="s">
        <v>540</v>
      </c>
      <c r="C34" s="431" t="s">
        <v>541</v>
      </c>
      <c r="D34" s="474" t="s">
        <v>635</v>
      </c>
      <c r="E34" s="475">
        <v>4000</v>
      </c>
      <c r="F34" s="431" t="s">
        <v>636</v>
      </c>
      <c r="G34" s="476" t="s">
        <v>637</v>
      </c>
      <c r="H34" s="477" t="s">
        <v>638</v>
      </c>
      <c r="I34" s="477" t="s">
        <v>610</v>
      </c>
      <c r="J34" s="478" t="s">
        <v>610</v>
      </c>
      <c r="K34" s="473">
        <v>1</v>
      </c>
      <c r="L34" s="431">
        <v>12</v>
      </c>
      <c r="M34" s="475">
        <v>48748</v>
      </c>
      <c r="N34" s="473">
        <v>1</v>
      </c>
      <c r="O34" s="431">
        <v>6</v>
      </c>
      <c r="P34" s="475">
        <v>24000</v>
      </c>
    </row>
    <row r="35" spans="1:16" ht="24" x14ac:dyDescent="0.2">
      <c r="A35" s="431" t="s">
        <v>539</v>
      </c>
      <c r="B35" s="473" t="s">
        <v>540</v>
      </c>
      <c r="C35" s="431" t="s">
        <v>541</v>
      </c>
      <c r="D35" s="474" t="s">
        <v>625</v>
      </c>
      <c r="E35" s="475">
        <v>3500</v>
      </c>
      <c r="F35" s="431" t="s">
        <v>639</v>
      </c>
      <c r="G35" s="476" t="s">
        <v>640</v>
      </c>
      <c r="H35" s="477" t="s">
        <v>561</v>
      </c>
      <c r="I35" s="477" t="s">
        <v>562</v>
      </c>
      <c r="J35" s="478" t="s">
        <v>561</v>
      </c>
      <c r="K35" s="473">
        <v>1</v>
      </c>
      <c r="L35" s="431">
        <v>12</v>
      </c>
      <c r="M35" s="475">
        <v>42600</v>
      </c>
      <c r="N35" s="473">
        <v>1</v>
      </c>
      <c r="O35" s="431">
        <v>6</v>
      </c>
      <c r="P35" s="475">
        <v>21000</v>
      </c>
    </row>
    <row r="36" spans="1:16" ht="24" x14ac:dyDescent="0.2">
      <c r="A36" s="431" t="s">
        <v>539</v>
      </c>
      <c r="B36" s="473" t="s">
        <v>540</v>
      </c>
      <c r="C36" s="431" t="s">
        <v>541</v>
      </c>
      <c r="D36" s="474" t="s">
        <v>542</v>
      </c>
      <c r="E36" s="475">
        <v>3300</v>
      </c>
      <c r="F36" s="431" t="s">
        <v>641</v>
      </c>
      <c r="G36" s="476" t="s">
        <v>642</v>
      </c>
      <c r="H36" s="477" t="s">
        <v>561</v>
      </c>
      <c r="I36" s="477" t="s">
        <v>562</v>
      </c>
      <c r="J36" s="478" t="s">
        <v>561</v>
      </c>
      <c r="K36" s="473">
        <v>1</v>
      </c>
      <c r="L36" s="431">
        <v>12</v>
      </c>
      <c r="M36" s="475">
        <v>40200</v>
      </c>
      <c r="N36" s="473">
        <v>1</v>
      </c>
      <c r="O36" s="431">
        <v>6</v>
      </c>
      <c r="P36" s="475">
        <v>19800</v>
      </c>
    </row>
    <row r="37" spans="1:16" ht="24" x14ac:dyDescent="0.2">
      <c r="A37" s="431" t="s">
        <v>539</v>
      </c>
      <c r="B37" s="473" t="s">
        <v>540</v>
      </c>
      <c r="C37" s="431" t="s">
        <v>541</v>
      </c>
      <c r="D37" s="474" t="s">
        <v>643</v>
      </c>
      <c r="E37" s="475">
        <v>1750</v>
      </c>
      <c r="F37" s="431" t="s">
        <v>644</v>
      </c>
      <c r="G37" s="476" t="s">
        <v>645</v>
      </c>
      <c r="H37" s="477" t="s">
        <v>561</v>
      </c>
      <c r="I37" s="477" t="s">
        <v>562</v>
      </c>
      <c r="J37" s="478" t="s">
        <v>561</v>
      </c>
      <c r="K37" s="473">
        <v>1</v>
      </c>
      <c r="L37" s="431">
        <v>12</v>
      </c>
      <c r="M37" s="475">
        <v>21600</v>
      </c>
      <c r="N37" s="473">
        <v>1</v>
      </c>
      <c r="O37" s="431">
        <v>6</v>
      </c>
      <c r="P37" s="475">
        <v>10500</v>
      </c>
    </row>
    <row r="38" spans="1:16" x14ac:dyDescent="0.2">
      <c r="A38" s="431" t="s">
        <v>539</v>
      </c>
      <c r="B38" s="473" t="s">
        <v>540</v>
      </c>
      <c r="C38" s="431" t="s">
        <v>541</v>
      </c>
      <c r="D38" s="474" t="s">
        <v>609</v>
      </c>
      <c r="E38" s="475">
        <v>5000</v>
      </c>
      <c r="F38" s="431" t="s">
        <v>646</v>
      </c>
      <c r="G38" s="476" t="s">
        <v>647</v>
      </c>
      <c r="H38" s="477" t="s">
        <v>609</v>
      </c>
      <c r="I38" s="477" t="s">
        <v>610</v>
      </c>
      <c r="J38" s="478" t="s">
        <v>610</v>
      </c>
      <c r="K38" s="473">
        <v>1</v>
      </c>
      <c r="L38" s="431">
        <v>12</v>
      </c>
      <c r="M38" s="475">
        <v>60600</v>
      </c>
      <c r="N38" s="473">
        <v>0</v>
      </c>
      <c r="O38" s="431">
        <v>0</v>
      </c>
      <c r="P38" s="475">
        <v>0</v>
      </c>
    </row>
    <row r="39" spans="1:16" x14ac:dyDescent="0.2">
      <c r="A39" s="431" t="s">
        <v>539</v>
      </c>
      <c r="B39" s="473" t="s">
        <v>540</v>
      </c>
      <c r="C39" s="431" t="s">
        <v>541</v>
      </c>
      <c r="D39" s="474" t="s">
        <v>625</v>
      </c>
      <c r="E39" s="475">
        <v>1800</v>
      </c>
      <c r="F39" s="431" t="s">
        <v>648</v>
      </c>
      <c r="G39" s="476" t="s">
        <v>649</v>
      </c>
      <c r="H39" s="477" t="s">
        <v>550</v>
      </c>
      <c r="I39" s="477" t="s">
        <v>550</v>
      </c>
      <c r="J39" s="478" t="s">
        <v>550</v>
      </c>
      <c r="K39" s="473">
        <v>1</v>
      </c>
      <c r="L39" s="431">
        <v>12</v>
      </c>
      <c r="M39" s="475">
        <v>22200</v>
      </c>
      <c r="N39" s="473">
        <v>1</v>
      </c>
      <c r="O39" s="431">
        <v>6</v>
      </c>
      <c r="P39" s="475">
        <v>10800</v>
      </c>
    </row>
    <row r="40" spans="1:16" x14ac:dyDescent="0.2">
      <c r="A40" s="431" t="s">
        <v>539</v>
      </c>
      <c r="B40" s="473" t="s">
        <v>540</v>
      </c>
      <c r="C40" s="431" t="s">
        <v>541</v>
      </c>
      <c r="D40" s="474" t="s">
        <v>650</v>
      </c>
      <c r="E40" s="475">
        <v>4000</v>
      </c>
      <c r="F40" s="431" t="s">
        <v>651</v>
      </c>
      <c r="G40" s="476" t="s">
        <v>652</v>
      </c>
      <c r="H40" s="477" t="s">
        <v>650</v>
      </c>
      <c r="I40" s="477" t="s">
        <v>610</v>
      </c>
      <c r="J40" s="478" t="s">
        <v>610</v>
      </c>
      <c r="K40" s="473">
        <v>1</v>
      </c>
      <c r="L40" s="431">
        <v>12</v>
      </c>
      <c r="M40" s="475">
        <v>27600</v>
      </c>
      <c r="N40" s="473">
        <v>1</v>
      </c>
      <c r="O40" s="431">
        <v>6</v>
      </c>
      <c r="P40" s="475">
        <v>21941.67</v>
      </c>
    </row>
    <row r="41" spans="1:16" ht="36" x14ac:dyDescent="0.2">
      <c r="A41" s="431" t="s">
        <v>539</v>
      </c>
      <c r="B41" s="473" t="s">
        <v>540</v>
      </c>
      <c r="C41" s="431" t="s">
        <v>541</v>
      </c>
      <c r="D41" s="474" t="s">
        <v>653</v>
      </c>
      <c r="E41" s="475">
        <v>2150</v>
      </c>
      <c r="F41" s="431" t="s">
        <v>654</v>
      </c>
      <c r="G41" s="476" t="s">
        <v>655</v>
      </c>
      <c r="H41" s="477" t="s">
        <v>656</v>
      </c>
      <c r="I41" s="477" t="s">
        <v>657</v>
      </c>
      <c r="J41" s="478" t="s">
        <v>561</v>
      </c>
      <c r="K41" s="473">
        <v>1</v>
      </c>
      <c r="L41" s="431">
        <v>1</v>
      </c>
      <c r="M41" s="475">
        <v>2293.33</v>
      </c>
      <c r="N41" s="473">
        <v>1</v>
      </c>
      <c r="O41" s="431">
        <v>6</v>
      </c>
      <c r="P41" s="475">
        <v>12900</v>
      </c>
    </row>
    <row r="42" spans="1:16" ht="48" x14ac:dyDescent="0.2">
      <c r="A42" s="431" t="s">
        <v>539</v>
      </c>
      <c r="B42" s="473" t="s">
        <v>540</v>
      </c>
      <c r="C42" s="431" t="s">
        <v>541</v>
      </c>
      <c r="D42" s="474" t="s">
        <v>658</v>
      </c>
      <c r="E42" s="475">
        <v>2000</v>
      </c>
      <c r="F42" s="431" t="s">
        <v>659</v>
      </c>
      <c r="G42" s="476" t="s">
        <v>660</v>
      </c>
      <c r="H42" s="477" t="s">
        <v>561</v>
      </c>
      <c r="I42" s="477" t="s">
        <v>562</v>
      </c>
      <c r="J42" s="478" t="s">
        <v>561</v>
      </c>
      <c r="K42" s="473">
        <v>1</v>
      </c>
      <c r="L42" s="431">
        <v>1</v>
      </c>
      <c r="M42" s="475">
        <v>1933.33</v>
      </c>
      <c r="N42" s="473">
        <v>1</v>
      </c>
      <c r="O42" s="431">
        <v>6</v>
      </c>
      <c r="P42" s="475">
        <v>12000</v>
      </c>
    </row>
    <row r="43" spans="1:16" ht="36" x14ac:dyDescent="0.2">
      <c r="A43" s="431" t="s">
        <v>539</v>
      </c>
      <c r="B43" s="473" t="s">
        <v>540</v>
      </c>
      <c r="C43" s="431" t="s">
        <v>541</v>
      </c>
      <c r="D43" s="474" t="s">
        <v>661</v>
      </c>
      <c r="E43" s="475">
        <v>3000</v>
      </c>
      <c r="F43" s="431" t="s">
        <v>662</v>
      </c>
      <c r="G43" s="476" t="s">
        <v>663</v>
      </c>
      <c r="H43" s="477" t="s">
        <v>550</v>
      </c>
      <c r="I43" s="477" t="s">
        <v>550</v>
      </c>
      <c r="J43" s="478" t="s">
        <v>550</v>
      </c>
      <c r="K43" s="473">
        <v>1</v>
      </c>
      <c r="L43" s="431">
        <v>12</v>
      </c>
      <c r="M43" s="475">
        <v>36600</v>
      </c>
      <c r="N43" s="473">
        <v>1</v>
      </c>
      <c r="O43" s="431">
        <v>6</v>
      </c>
      <c r="P43" s="475">
        <v>18000</v>
      </c>
    </row>
    <row r="44" spans="1:16" x14ac:dyDescent="0.2">
      <c r="A44" s="431" t="s">
        <v>539</v>
      </c>
      <c r="B44" s="473" t="s">
        <v>540</v>
      </c>
      <c r="C44" s="431" t="s">
        <v>541</v>
      </c>
      <c r="D44" s="474" t="s">
        <v>625</v>
      </c>
      <c r="E44" s="475">
        <v>2200</v>
      </c>
      <c r="F44" s="431" t="s">
        <v>664</v>
      </c>
      <c r="G44" s="476" t="s">
        <v>665</v>
      </c>
      <c r="H44" s="477" t="s">
        <v>550</v>
      </c>
      <c r="I44" s="477" t="s">
        <v>550</v>
      </c>
      <c r="J44" s="478" t="s">
        <v>550</v>
      </c>
      <c r="K44" s="473">
        <v>1</v>
      </c>
      <c r="L44" s="431">
        <v>12</v>
      </c>
      <c r="M44" s="475">
        <v>27000</v>
      </c>
      <c r="N44" s="473">
        <v>1</v>
      </c>
      <c r="O44" s="431">
        <v>6</v>
      </c>
      <c r="P44" s="475">
        <v>13200</v>
      </c>
    </row>
    <row r="45" spans="1:16" ht="48" x14ac:dyDescent="0.2">
      <c r="A45" s="431" t="s">
        <v>539</v>
      </c>
      <c r="B45" s="473" t="s">
        <v>540</v>
      </c>
      <c r="C45" s="431" t="s">
        <v>541</v>
      </c>
      <c r="D45" s="474" t="s">
        <v>666</v>
      </c>
      <c r="E45" s="475">
        <v>3300</v>
      </c>
      <c r="F45" s="431" t="s">
        <v>667</v>
      </c>
      <c r="G45" s="476" t="s">
        <v>668</v>
      </c>
      <c r="H45" s="477" t="s">
        <v>669</v>
      </c>
      <c r="I45" s="477" t="s">
        <v>580</v>
      </c>
      <c r="J45" s="478" t="s">
        <v>580</v>
      </c>
      <c r="K45" s="473">
        <v>1</v>
      </c>
      <c r="L45" s="431">
        <v>12</v>
      </c>
      <c r="M45" s="475">
        <v>40200</v>
      </c>
      <c r="N45" s="473">
        <v>1</v>
      </c>
      <c r="O45" s="431">
        <v>6</v>
      </c>
      <c r="P45" s="475">
        <v>19800</v>
      </c>
    </row>
    <row r="46" spans="1:16" ht="24" x14ac:dyDescent="0.2">
      <c r="A46" s="431" t="s">
        <v>539</v>
      </c>
      <c r="B46" s="473" t="s">
        <v>540</v>
      </c>
      <c r="C46" s="431" t="s">
        <v>541</v>
      </c>
      <c r="D46" s="474" t="s">
        <v>670</v>
      </c>
      <c r="E46" s="475">
        <v>4000</v>
      </c>
      <c r="F46" s="431" t="s">
        <v>671</v>
      </c>
      <c r="G46" s="476" t="s">
        <v>672</v>
      </c>
      <c r="H46" s="477" t="s">
        <v>673</v>
      </c>
      <c r="I46" s="477" t="s">
        <v>610</v>
      </c>
      <c r="J46" s="478" t="s">
        <v>610</v>
      </c>
      <c r="K46" s="473">
        <v>1</v>
      </c>
      <c r="L46" s="431">
        <v>12</v>
      </c>
      <c r="M46" s="475">
        <v>36626.67</v>
      </c>
      <c r="N46" s="473">
        <v>1</v>
      </c>
      <c r="O46" s="431">
        <v>6</v>
      </c>
      <c r="P46" s="475">
        <v>24000</v>
      </c>
    </row>
    <row r="47" spans="1:16" x14ac:dyDescent="0.2">
      <c r="A47" s="431" t="s">
        <v>539</v>
      </c>
      <c r="B47" s="473" t="s">
        <v>540</v>
      </c>
      <c r="C47" s="431" t="s">
        <v>541</v>
      </c>
      <c r="D47" s="474" t="s">
        <v>587</v>
      </c>
      <c r="E47" s="475">
        <v>2200</v>
      </c>
      <c r="F47" s="431" t="s">
        <v>674</v>
      </c>
      <c r="G47" s="476" t="s">
        <v>675</v>
      </c>
      <c r="H47" s="477" t="s">
        <v>609</v>
      </c>
      <c r="I47" s="477" t="s">
        <v>546</v>
      </c>
      <c r="J47" s="478" t="s">
        <v>609</v>
      </c>
      <c r="K47" s="473">
        <v>1</v>
      </c>
      <c r="L47" s="431">
        <v>3</v>
      </c>
      <c r="M47" s="475">
        <v>7900</v>
      </c>
      <c r="N47" s="473">
        <v>1</v>
      </c>
      <c r="O47" s="431">
        <v>6</v>
      </c>
      <c r="P47" s="475">
        <v>12833.33</v>
      </c>
    </row>
    <row r="48" spans="1:16" x14ac:dyDescent="0.2">
      <c r="A48" s="431" t="s">
        <v>539</v>
      </c>
      <c r="B48" s="473" t="s">
        <v>540</v>
      </c>
      <c r="C48" s="431" t="s">
        <v>541</v>
      </c>
      <c r="D48" s="474" t="s">
        <v>606</v>
      </c>
      <c r="E48" s="475">
        <v>5500</v>
      </c>
      <c r="F48" s="431" t="s">
        <v>676</v>
      </c>
      <c r="G48" s="476" t="s">
        <v>677</v>
      </c>
      <c r="H48" s="477" t="s">
        <v>609</v>
      </c>
      <c r="I48" s="477" t="s">
        <v>610</v>
      </c>
      <c r="J48" s="478" t="s">
        <v>610</v>
      </c>
      <c r="K48" s="473">
        <v>1</v>
      </c>
      <c r="L48" s="431">
        <v>12</v>
      </c>
      <c r="M48" s="475">
        <v>66600</v>
      </c>
      <c r="N48" s="473">
        <v>1</v>
      </c>
      <c r="O48" s="431">
        <v>6</v>
      </c>
      <c r="P48" s="475">
        <v>33000</v>
      </c>
    </row>
    <row r="49" spans="1:16" x14ac:dyDescent="0.2">
      <c r="A49" s="431" t="s">
        <v>539</v>
      </c>
      <c r="B49" s="473" t="s">
        <v>540</v>
      </c>
      <c r="C49" s="431" t="s">
        <v>541</v>
      </c>
      <c r="D49" s="474" t="s">
        <v>609</v>
      </c>
      <c r="E49" s="475">
        <v>5025</v>
      </c>
      <c r="F49" s="431" t="s">
        <v>678</v>
      </c>
      <c r="G49" s="476" t="s">
        <v>679</v>
      </c>
      <c r="H49" s="477" t="s">
        <v>550</v>
      </c>
      <c r="I49" s="477" t="s">
        <v>550</v>
      </c>
      <c r="J49" s="477" t="s">
        <v>550</v>
      </c>
      <c r="K49" s="473">
        <v>1</v>
      </c>
      <c r="L49" s="431">
        <v>1</v>
      </c>
      <c r="M49" s="475">
        <v>4690</v>
      </c>
      <c r="N49" s="473">
        <v>1</v>
      </c>
      <c r="O49" s="431">
        <v>5</v>
      </c>
      <c r="P49" s="475">
        <v>25125</v>
      </c>
    </row>
    <row r="50" spans="1:16" ht="24" x14ac:dyDescent="0.2">
      <c r="A50" s="431" t="s">
        <v>539</v>
      </c>
      <c r="B50" s="473" t="s">
        <v>540</v>
      </c>
      <c r="C50" s="431" t="s">
        <v>541</v>
      </c>
      <c r="D50" s="474" t="s">
        <v>542</v>
      </c>
      <c r="E50" s="475">
        <v>2300</v>
      </c>
      <c r="F50" s="431" t="s">
        <v>680</v>
      </c>
      <c r="G50" s="476" t="s">
        <v>681</v>
      </c>
      <c r="H50" s="477" t="s">
        <v>550</v>
      </c>
      <c r="I50" s="477" t="s">
        <v>550</v>
      </c>
      <c r="J50" s="478" t="s">
        <v>550</v>
      </c>
      <c r="K50" s="473">
        <v>1</v>
      </c>
      <c r="L50" s="431">
        <v>12</v>
      </c>
      <c r="M50" s="475">
        <v>28200</v>
      </c>
      <c r="N50" s="473">
        <v>1</v>
      </c>
      <c r="O50" s="431">
        <v>6</v>
      </c>
      <c r="P50" s="475">
        <v>13800</v>
      </c>
    </row>
    <row r="51" spans="1:16" ht="24" x14ac:dyDescent="0.2">
      <c r="A51" s="431" t="s">
        <v>539</v>
      </c>
      <c r="B51" s="473" t="s">
        <v>540</v>
      </c>
      <c r="C51" s="431" t="s">
        <v>541</v>
      </c>
      <c r="D51" s="474" t="s">
        <v>682</v>
      </c>
      <c r="E51" s="475">
        <v>4025</v>
      </c>
      <c r="F51" s="431" t="s">
        <v>683</v>
      </c>
      <c r="G51" s="476" t="s">
        <v>684</v>
      </c>
      <c r="H51" s="477" t="s">
        <v>685</v>
      </c>
      <c r="I51" s="477" t="s">
        <v>546</v>
      </c>
      <c r="J51" s="478" t="s">
        <v>685</v>
      </c>
      <c r="K51" s="473">
        <v>0</v>
      </c>
      <c r="L51" s="431">
        <v>0</v>
      </c>
      <c r="M51" s="475">
        <v>0</v>
      </c>
      <c r="N51" s="473">
        <v>1</v>
      </c>
      <c r="O51" s="431">
        <v>4</v>
      </c>
      <c r="P51" s="475">
        <v>15563.33</v>
      </c>
    </row>
    <row r="52" spans="1:16" ht="24" x14ac:dyDescent="0.2">
      <c r="A52" s="431" t="s">
        <v>539</v>
      </c>
      <c r="B52" s="473" t="s">
        <v>540</v>
      </c>
      <c r="C52" s="431" t="s">
        <v>541</v>
      </c>
      <c r="D52" s="474" t="s">
        <v>686</v>
      </c>
      <c r="E52" s="475">
        <v>5000</v>
      </c>
      <c r="F52" s="431" t="s">
        <v>687</v>
      </c>
      <c r="G52" s="476" t="s">
        <v>688</v>
      </c>
      <c r="H52" s="477" t="s">
        <v>685</v>
      </c>
      <c r="I52" s="477" t="s">
        <v>546</v>
      </c>
      <c r="J52" s="478" t="s">
        <v>685</v>
      </c>
      <c r="K52" s="473">
        <v>0</v>
      </c>
      <c r="L52" s="431">
        <v>0</v>
      </c>
      <c r="M52" s="475">
        <v>0</v>
      </c>
      <c r="N52" s="473">
        <v>1</v>
      </c>
      <c r="O52" s="431">
        <v>5</v>
      </c>
      <c r="P52" s="475">
        <v>24333.33</v>
      </c>
    </row>
    <row r="53" spans="1:16" ht="24" x14ac:dyDescent="0.2">
      <c r="A53" s="431" t="s">
        <v>539</v>
      </c>
      <c r="B53" s="473" t="s">
        <v>540</v>
      </c>
      <c r="C53" s="431" t="s">
        <v>541</v>
      </c>
      <c r="D53" s="474" t="s">
        <v>689</v>
      </c>
      <c r="E53" s="475">
        <v>5000</v>
      </c>
      <c r="F53" s="431" t="s">
        <v>690</v>
      </c>
      <c r="G53" s="476" t="s">
        <v>691</v>
      </c>
      <c r="H53" s="477" t="s">
        <v>573</v>
      </c>
      <c r="I53" s="477" t="s">
        <v>546</v>
      </c>
      <c r="J53" s="478" t="s">
        <v>580</v>
      </c>
      <c r="K53" s="473">
        <v>1</v>
      </c>
      <c r="L53" s="431">
        <v>12</v>
      </c>
      <c r="M53" s="475">
        <v>60600</v>
      </c>
      <c r="N53" s="473">
        <v>1</v>
      </c>
      <c r="O53" s="431">
        <v>6</v>
      </c>
      <c r="P53" s="475">
        <v>30000</v>
      </c>
    </row>
    <row r="54" spans="1:16" ht="24" x14ac:dyDescent="0.2">
      <c r="A54" s="431" t="s">
        <v>539</v>
      </c>
      <c r="B54" s="473" t="s">
        <v>540</v>
      </c>
      <c r="C54" s="431" t="s">
        <v>541</v>
      </c>
      <c r="D54" s="474" t="s">
        <v>692</v>
      </c>
      <c r="E54" s="475">
        <v>2650</v>
      </c>
      <c r="F54" s="431" t="s">
        <v>693</v>
      </c>
      <c r="G54" s="476" t="s">
        <v>694</v>
      </c>
      <c r="H54" s="477" t="s">
        <v>695</v>
      </c>
      <c r="I54" s="477" t="s">
        <v>546</v>
      </c>
      <c r="J54" s="477" t="s">
        <v>695</v>
      </c>
      <c r="K54" s="473">
        <v>0</v>
      </c>
      <c r="L54" s="431">
        <v>0</v>
      </c>
      <c r="M54" s="475">
        <v>0</v>
      </c>
      <c r="N54" s="473">
        <v>1</v>
      </c>
      <c r="O54" s="431">
        <v>4</v>
      </c>
      <c r="P54" s="475">
        <v>10246.67</v>
      </c>
    </row>
    <row r="55" spans="1:16" ht="36" x14ac:dyDescent="0.2">
      <c r="A55" s="431" t="s">
        <v>539</v>
      </c>
      <c r="B55" s="473" t="s">
        <v>540</v>
      </c>
      <c r="C55" s="431" t="s">
        <v>541</v>
      </c>
      <c r="D55" s="474" t="s">
        <v>696</v>
      </c>
      <c r="E55" s="475">
        <v>2500</v>
      </c>
      <c r="F55" s="431" t="s">
        <v>697</v>
      </c>
      <c r="G55" s="476" t="s">
        <v>698</v>
      </c>
      <c r="H55" s="477" t="s">
        <v>561</v>
      </c>
      <c r="I55" s="477" t="s">
        <v>562</v>
      </c>
      <c r="J55" s="478" t="s">
        <v>561</v>
      </c>
      <c r="K55" s="473">
        <v>1</v>
      </c>
      <c r="L55" s="431">
        <v>12</v>
      </c>
      <c r="M55" s="475">
        <v>30600</v>
      </c>
      <c r="N55" s="473">
        <v>1</v>
      </c>
      <c r="O55" s="431">
        <v>6</v>
      </c>
      <c r="P55" s="475">
        <v>15000</v>
      </c>
    </row>
    <row r="56" spans="1:16" ht="24" x14ac:dyDescent="0.2">
      <c r="A56" s="431" t="s">
        <v>539</v>
      </c>
      <c r="B56" s="473" t="s">
        <v>540</v>
      </c>
      <c r="C56" s="431" t="s">
        <v>541</v>
      </c>
      <c r="D56" s="474" t="s">
        <v>619</v>
      </c>
      <c r="E56" s="475">
        <v>2200</v>
      </c>
      <c r="F56" s="431" t="s">
        <v>699</v>
      </c>
      <c r="G56" s="476" t="s">
        <v>700</v>
      </c>
      <c r="H56" s="477" t="s">
        <v>561</v>
      </c>
      <c r="I56" s="477" t="s">
        <v>562</v>
      </c>
      <c r="J56" s="478" t="s">
        <v>561</v>
      </c>
      <c r="K56" s="473">
        <v>1</v>
      </c>
      <c r="L56" s="431">
        <v>12</v>
      </c>
      <c r="M56" s="475">
        <v>27000</v>
      </c>
      <c r="N56" s="473">
        <v>1</v>
      </c>
      <c r="O56" s="431">
        <v>6</v>
      </c>
      <c r="P56" s="475">
        <v>13200</v>
      </c>
    </row>
    <row r="57" spans="1:16" ht="24" x14ac:dyDescent="0.2">
      <c r="A57" s="431" t="s">
        <v>539</v>
      </c>
      <c r="B57" s="473" t="s">
        <v>540</v>
      </c>
      <c r="C57" s="431" t="s">
        <v>541</v>
      </c>
      <c r="D57" s="474" t="s">
        <v>542</v>
      </c>
      <c r="E57" s="475">
        <v>3600</v>
      </c>
      <c r="F57" s="431" t="s">
        <v>701</v>
      </c>
      <c r="G57" s="476" t="s">
        <v>702</v>
      </c>
      <c r="H57" s="477" t="s">
        <v>561</v>
      </c>
      <c r="I57" s="477" t="s">
        <v>562</v>
      </c>
      <c r="J57" s="478" t="s">
        <v>561</v>
      </c>
      <c r="K57" s="473">
        <v>1</v>
      </c>
      <c r="L57" s="431">
        <v>12</v>
      </c>
      <c r="M57" s="475">
        <v>43800</v>
      </c>
      <c r="N57" s="473">
        <v>1</v>
      </c>
      <c r="O57" s="431">
        <v>6</v>
      </c>
      <c r="P57" s="475">
        <v>21600</v>
      </c>
    </row>
    <row r="58" spans="1:16" ht="36" x14ac:dyDescent="0.2">
      <c r="A58" s="431" t="s">
        <v>539</v>
      </c>
      <c r="B58" s="473" t="s">
        <v>540</v>
      </c>
      <c r="C58" s="431" t="s">
        <v>541</v>
      </c>
      <c r="D58" s="474" t="s">
        <v>576</v>
      </c>
      <c r="E58" s="475">
        <v>1850</v>
      </c>
      <c r="F58" s="431" t="s">
        <v>703</v>
      </c>
      <c r="G58" s="476" t="s">
        <v>704</v>
      </c>
      <c r="H58" s="477" t="s">
        <v>705</v>
      </c>
      <c r="I58" s="477" t="s">
        <v>546</v>
      </c>
      <c r="J58" s="478" t="s">
        <v>705</v>
      </c>
      <c r="K58" s="473">
        <v>1</v>
      </c>
      <c r="L58" s="431">
        <v>12</v>
      </c>
      <c r="M58" s="475">
        <v>22800</v>
      </c>
      <c r="N58" s="473">
        <v>1</v>
      </c>
      <c r="O58" s="431">
        <v>6</v>
      </c>
      <c r="P58" s="475">
        <v>11100</v>
      </c>
    </row>
    <row r="59" spans="1:16" x14ac:dyDescent="0.2">
      <c r="A59" s="431" t="s">
        <v>539</v>
      </c>
      <c r="B59" s="473" t="s">
        <v>540</v>
      </c>
      <c r="C59" s="431" t="s">
        <v>541</v>
      </c>
      <c r="D59" s="474" t="s">
        <v>650</v>
      </c>
      <c r="E59" s="475">
        <v>4000</v>
      </c>
      <c r="F59" s="431" t="s">
        <v>706</v>
      </c>
      <c r="G59" s="476" t="s">
        <v>707</v>
      </c>
      <c r="H59" s="477" t="s">
        <v>650</v>
      </c>
      <c r="I59" s="477" t="s">
        <v>610</v>
      </c>
      <c r="J59" s="478" t="s">
        <v>610</v>
      </c>
      <c r="K59" s="473">
        <v>1</v>
      </c>
      <c r="L59" s="431">
        <v>12</v>
      </c>
      <c r="M59" s="475">
        <v>48600</v>
      </c>
      <c r="N59" s="473">
        <v>0</v>
      </c>
      <c r="O59" s="431">
        <v>0</v>
      </c>
      <c r="P59" s="475">
        <v>0</v>
      </c>
    </row>
    <row r="60" spans="1:16" x14ac:dyDescent="0.2">
      <c r="A60" s="431" t="s">
        <v>539</v>
      </c>
      <c r="B60" s="473" t="s">
        <v>540</v>
      </c>
      <c r="C60" s="431" t="s">
        <v>541</v>
      </c>
      <c r="D60" s="474" t="s">
        <v>587</v>
      </c>
      <c r="E60" s="475">
        <v>2200</v>
      </c>
      <c r="F60" s="431" t="s">
        <v>708</v>
      </c>
      <c r="G60" s="476" t="s">
        <v>709</v>
      </c>
      <c r="H60" s="477" t="s">
        <v>609</v>
      </c>
      <c r="I60" s="477" t="s">
        <v>546</v>
      </c>
      <c r="J60" s="478" t="s">
        <v>609</v>
      </c>
      <c r="K60" s="473">
        <v>0</v>
      </c>
      <c r="L60" s="431">
        <v>0</v>
      </c>
      <c r="M60" s="475">
        <v>0</v>
      </c>
      <c r="N60" s="473">
        <v>1</v>
      </c>
      <c r="O60" s="431">
        <v>5</v>
      </c>
      <c r="P60" s="475">
        <v>10706.67</v>
      </c>
    </row>
    <row r="61" spans="1:16" ht="72" x14ac:dyDescent="0.2">
      <c r="A61" s="431" t="s">
        <v>539</v>
      </c>
      <c r="B61" s="473" t="s">
        <v>540</v>
      </c>
      <c r="C61" s="431" t="s">
        <v>541</v>
      </c>
      <c r="D61" s="474" t="s">
        <v>710</v>
      </c>
      <c r="E61" s="475">
        <v>6000</v>
      </c>
      <c r="F61" s="431" t="s">
        <v>711</v>
      </c>
      <c r="G61" s="476" t="s">
        <v>712</v>
      </c>
      <c r="H61" s="477" t="s">
        <v>550</v>
      </c>
      <c r="I61" s="477" t="s">
        <v>550</v>
      </c>
      <c r="J61" s="477" t="s">
        <v>550</v>
      </c>
      <c r="K61" s="473">
        <v>1</v>
      </c>
      <c r="L61" s="431">
        <v>1</v>
      </c>
      <c r="M61" s="475">
        <v>5800</v>
      </c>
      <c r="N61" s="473">
        <v>1</v>
      </c>
      <c r="O61" s="431">
        <v>6</v>
      </c>
      <c r="P61" s="475">
        <v>36000</v>
      </c>
    </row>
    <row r="62" spans="1:16" ht="24" x14ac:dyDescent="0.2">
      <c r="A62" s="431" t="s">
        <v>539</v>
      </c>
      <c r="B62" s="473" t="s">
        <v>540</v>
      </c>
      <c r="C62" s="431" t="s">
        <v>541</v>
      </c>
      <c r="D62" s="474" t="s">
        <v>713</v>
      </c>
      <c r="E62" s="475">
        <v>1500</v>
      </c>
      <c r="F62" s="431" t="s">
        <v>714</v>
      </c>
      <c r="G62" s="476" t="s">
        <v>715</v>
      </c>
      <c r="H62" s="477" t="s">
        <v>561</v>
      </c>
      <c r="I62" s="477" t="s">
        <v>562</v>
      </c>
      <c r="J62" s="478" t="s">
        <v>561</v>
      </c>
      <c r="K62" s="473">
        <v>0</v>
      </c>
      <c r="L62" s="431">
        <v>0</v>
      </c>
      <c r="M62" s="475">
        <v>0</v>
      </c>
      <c r="N62" s="473">
        <v>1</v>
      </c>
      <c r="O62" s="431">
        <v>4</v>
      </c>
      <c r="P62" s="475">
        <v>5800</v>
      </c>
    </row>
    <row r="63" spans="1:16" ht="72" x14ac:dyDescent="0.2">
      <c r="A63" s="431" t="s">
        <v>539</v>
      </c>
      <c r="B63" s="473" t="s">
        <v>540</v>
      </c>
      <c r="C63" s="431" t="s">
        <v>541</v>
      </c>
      <c r="D63" s="474" t="s">
        <v>716</v>
      </c>
      <c r="E63" s="475">
        <v>9000</v>
      </c>
      <c r="F63" s="431" t="s">
        <v>717</v>
      </c>
      <c r="G63" s="476" t="s">
        <v>718</v>
      </c>
      <c r="H63" s="477" t="s">
        <v>609</v>
      </c>
      <c r="I63" s="477" t="s">
        <v>546</v>
      </c>
      <c r="J63" s="477" t="s">
        <v>609</v>
      </c>
      <c r="K63" s="473">
        <v>1</v>
      </c>
      <c r="L63" s="431">
        <v>2</v>
      </c>
      <c r="M63" s="475">
        <v>18100</v>
      </c>
      <c r="N63" s="473">
        <v>1</v>
      </c>
      <c r="O63" s="431">
        <v>6</v>
      </c>
      <c r="P63" s="475">
        <v>54000</v>
      </c>
    </row>
    <row r="64" spans="1:16" ht="36" x14ac:dyDescent="0.2">
      <c r="A64" s="431" t="s">
        <v>539</v>
      </c>
      <c r="B64" s="473" t="s">
        <v>540</v>
      </c>
      <c r="C64" s="431" t="s">
        <v>541</v>
      </c>
      <c r="D64" s="474" t="s">
        <v>719</v>
      </c>
      <c r="E64" s="475">
        <v>3800</v>
      </c>
      <c r="F64" s="431" t="s">
        <v>720</v>
      </c>
      <c r="G64" s="476" t="s">
        <v>721</v>
      </c>
      <c r="H64" s="477" t="s">
        <v>722</v>
      </c>
      <c r="I64" s="477" t="s">
        <v>580</v>
      </c>
      <c r="J64" s="478" t="s">
        <v>580</v>
      </c>
      <c r="K64" s="473">
        <v>1</v>
      </c>
      <c r="L64" s="431">
        <v>12</v>
      </c>
      <c r="M64" s="475">
        <v>46200</v>
      </c>
      <c r="N64" s="473">
        <v>0</v>
      </c>
      <c r="O64" s="431">
        <v>0</v>
      </c>
      <c r="P64" s="475">
        <v>0</v>
      </c>
    </row>
    <row r="65" spans="1:16" ht="36" x14ac:dyDescent="0.2">
      <c r="A65" s="431" t="s">
        <v>539</v>
      </c>
      <c r="B65" s="473" t="s">
        <v>540</v>
      </c>
      <c r="C65" s="431" t="s">
        <v>541</v>
      </c>
      <c r="D65" s="474" t="s">
        <v>723</v>
      </c>
      <c r="E65" s="475">
        <v>4550</v>
      </c>
      <c r="F65" s="431" t="s">
        <v>724</v>
      </c>
      <c r="G65" s="476" t="s">
        <v>725</v>
      </c>
      <c r="H65" s="477" t="s">
        <v>550</v>
      </c>
      <c r="I65" s="477" t="s">
        <v>550</v>
      </c>
      <c r="J65" s="477" t="s">
        <v>550</v>
      </c>
      <c r="K65" s="473">
        <v>1</v>
      </c>
      <c r="L65" s="431">
        <v>2</v>
      </c>
      <c r="M65" s="475">
        <v>10413.33</v>
      </c>
      <c r="N65" s="473">
        <v>1</v>
      </c>
      <c r="O65" s="431">
        <v>5</v>
      </c>
      <c r="P65" s="475">
        <v>22750</v>
      </c>
    </row>
    <row r="66" spans="1:16" ht="48" x14ac:dyDescent="0.2">
      <c r="A66" s="431" t="s">
        <v>539</v>
      </c>
      <c r="B66" s="473" t="s">
        <v>540</v>
      </c>
      <c r="C66" s="431" t="s">
        <v>541</v>
      </c>
      <c r="D66" s="474" t="s">
        <v>658</v>
      </c>
      <c r="E66" s="475">
        <v>2000</v>
      </c>
      <c r="F66" s="431" t="s">
        <v>726</v>
      </c>
      <c r="G66" s="476" t="s">
        <v>727</v>
      </c>
      <c r="H66" s="477" t="s">
        <v>561</v>
      </c>
      <c r="I66" s="477" t="s">
        <v>562</v>
      </c>
      <c r="J66" s="478" t="s">
        <v>561</v>
      </c>
      <c r="K66" s="473">
        <v>1</v>
      </c>
      <c r="L66" s="431">
        <v>1</v>
      </c>
      <c r="M66" s="475">
        <v>1933.33</v>
      </c>
      <c r="N66" s="473">
        <v>1</v>
      </c>
      <c r="O66" s="431">
        <v>6</v>
      </c>
      <c r="P66" s="475">
        <v>12000</v>
      </c>
    </row>
    <row r="67" spans="1:16" ht="24" x14ac:dyDescent="0.2">
      <c r="A67" s="431" t="s">
        <v>539</v>
      </c>
      <c r="B67" s="473" t="s">
        <v>540</v>
      </c>
      <c r="C67" s="431" t="s">
        <v>541</v>
      </c>
      <c r="D67" s="474" t="s">
        <v>547</v>
      </c>
      <c r="E67" s="475">
        <v>4500</v>
      </c>
      <c r="F67" s="431" t="s">
        <v>728</v>
      </c>
      <c r="G67" s="476" t="s">
        <v>729</v>
      </c>
      <c r="H67" s="477" t="s">
        <v>561</v>
      </c>
      <c r="I67" s="477" t="s">
        <v>562</v>
      </c>
      <c r="J67" s="478" t="s">
        <v>561</v>
      </c>
      <c r="K67" s="473">
        <v>0</v>
      </c>
      <c r="L67" s="431">
        <v>0</v>
      </c>
      <c r="M67" s="475">
        <v>0</v>
      </c>
      <c r="N67" s="473">
        <v>1</v>
      </c>
      <c r="O67" s="431">
        <v>5</v>
      </c>
      <c r="P67" s="475">
        <v>21900</v>
      </c>
    </row>
    <row r="68" spans="1:16" ht="24" x14ac:dyDescent="0.2">
      <c r="A68" s="431" t="s">
        <v>539</v>
      </c>
      <c r="B68" s="473" t="s">
        <v>540</v>
      </c>
      <c r="C68" s="431" t="s">
        <v>541</v>
      </c>
      <c r="D68" s="474" t="s">
        <v>730</v>
      </c>
      <c r="E68" s="475">
        <v>5000</v>
      </c>
      <c r="F68" s="431" t="s">
        <v>731</v>
      </c>
      <c r="G68" s="476" t="s">
        <v>732</v>
      </c>
      <c r="H68" s="477" t="s">
        <v>573</v>
      </c>
      <c r="I68" s="477" t="s">
        <v>546</v>
      </c>
      <c r="J68" s="478" t="s">
        <v>610</v>
      </c>
      <c r="K68" s="473">
        <v>1</v>
      </c>
      <c r="L68" s="431">
        <v>12</v>
      </c>
      <c r="M68" s="475">
        <v>60600</v>
      </c>
      <c r="N68" s="473">
        <v>1</v>
      </c>
      <c r="O68" s="431">
        <v>6</v>
      </c>
      <c r="P68" s="475">
        <v>25420.5</v>
      </c>
    </row>
    <row r="69" spans="1:16" x14ac:dyDescent="0.2">
      <c r="A69" s="431" t="s">
        <v>539</v>
      </c>
      <c r="B69" s="473" t="s">
        <v>540</v>
      </c>
      <c r="C69" s="431" t="s">
        <v>541</v>
      </c>
      <c r="D69" s="474" t="s">
        <v>713</v>
      </c>
      <c r="E69" s="475">
        <v>1500</v>
      </c>
      <c r="F69" s="431" t="s">
        <v>733</v>
      </c>
      <c r="G69" s="476" t="s">
        <v>734</v>
      </c>
      <c r="H69" s="477" t="s">
        <v>609</v>
      </c>
      <c r="I69" s="477" t="s">
        <v>610</v>
      </c>
      <c r="J69" s="478" t="s">
        <v>610</v>
      </c>
      <c r="K69" s="473">
        <v>1</v>
      </c>
      <c r="L69" s="431">
        <v>12</v>
      </c>
      <c r="M69" s="475">
        <v>18600</v>
      </c>
      <c r="N69" s="473">
        <v>0</v>
      </c>
      <c r="O69" s="431">
        <v>0</v>
      </c>
      <c r="P69" s="475">
        <v>0</v>
      </c>
    </row>
    <row r="70" spans="1:16" x14ac:dyDescent="0.2">
      <c r="A70" s="431" t="s">
        <v>539</v>
      </c>
      <c r="B70" s="473" t="s">
        <v>540</v>
      </c>
      <c r="C70" s="431" t="s">
        <v>541</v>
      </c>
      <c r="D70" s="474" t="s">
        <v>735</v>
      </c>
      <c r="E70" s="475">
        <v>5500</v>
      </c>
      <c r="F70" s="431" t="s">
        <v>736</v>
      </c>
      <c r="G70" s="476" t="s">
        <v>737</v>
      </c>
      <c r="H70" s="477" t="s">
        <v>738</v>
      </c>
      <c r="I70" s="477" t="s">
        <v>610</v>
      </c>
      <c r="J70" s="478" t="s">
        <v>610</v>
      </c>
      <c r="K70" s="473">
        <v>1</v>
      </c>
      <c r="L70" s="431">
        <v>12</v>
      </c>
      <c r="M70" s="475">
        <v>66600</v>
      </c>
      <c r="N70" s="473">
        <v>1</v>
      </c>
      <c r="O70" s="431">
        <v>6</v>
      </c>
      <c r="P70" s="475">
        <v>33000</v>
      </c>
    </row>
    <row r="71" spans="1:16" ht="24" x14ac:dyDescent="0.2">
      <c r="A71" s="431" t="s">
        <v>539</v>
      </c>
      <c r="B71" s="473" t="s">
        <v>540</v>
      </c>
      <c r="C71" s="431" t="s">
        <v>541</v>
      </c>
      <c r="D71" s="474" t="s">
        <v>739</v>
      </c>
      <c r="E71" s="475">
        <v>2000</v>
      </c>
      <c r="F71" s="431" t="s">
        <v>740</v>
      </c>
      <c r="G71" s="476" t="s">
        <v>741</v>
      </c>
      <c r="H71" s="477" t="s">
        <v>742</v>
      </c>
      <c r="I71" s="477" t="s">
        <v>546</v>
      </c>
      <c r="J71" s="478" t="s">
        <v>742</v>
      </c>
      <c r="K71" s="473">
        <v>1</v>
      </c>
      <c r="L71" s="431">
        <v>1</v>
      </c>
      <c r="M71" s="475">
        <v>2266.66</v>
      </c>
      <c r="N71" s="473">
        <v>1</v>
      </c>
      <c r="O71" s="431">
        <v>6</v>
      </c>
      <c r="P71" s="475">
        <v>12000</v>
      </c>
    </row>
    <row r="72" spans="1:16" ht="24" x14ac:dyDescent="0.2">
      <c r="A72" s="431" t="s">
        <v>539</v>
      </c>
      <c r="B72" s="473" t="s">
        <v>540</v>
      </c>
      <c r="C72" s="431" t="s">
        <v>541</v>
      </c>
      <c r="D72" s="474" t="s">
        <v>613</v>
      </c>
      <c r="E72" s="475">
        <v>2800</v>
      </c>
      <c r="F72" s="431" t="s">
        <v>743</v>
      </c>
      <c r="G72" s="476" t="s">
        <v>744</v>
      </c>
      <c r="H72" s="477" t="s">
        <v>550</v>
      </c>
      <c r="I72" s="477" t="s">
        <v>550</v>
      </c>
      <c r="J72" s="478" t="s">
        <v>550</v>
      </c>
      <c r="K72" s="473">
        <v>1</v>
      </c>
      <c r="L72" s="431">
        <v>12</v>
      </c>
      <c r="M72" s="475">
        <v>34200</v>
      </c>
      <c r="N72" s="473">
        <v>1</v>
      </c>
      <c r="O72" s="431">
        <v>4</v>
      </c>
      <c r="P72" s="475">
        <v>9613.33</v>
      </c>
    </row>
    <row r="73" spans="1:16" ht="48" x14ac:dyDescent="0.2">
      <c r="A73" s="431" t="s">
        <v>539</v>
      </c>
      <c r="B73" s="473" t="s">
        <v>540</v>
      </c>
      <c r="C73" s="431" t="s">
        <v>541</v>
      </c>
      <c r="D73" s="474" t="s">
        <v>745</v>
      </c>
      <c r="E73" s="475">
        <v>2850</v>
      </c>
      <c r="F73" s="431" t="s">
        <v>746</v>
      </c>
      <c r="G73" s="476" t="s">
        <v>747</v>
      </c>
      <c r="H73" s="477" t="s">
        <v>561</v>
      </c>
      <c r="I73" s="477" t="s">
        <v>562</v>
      </c>
      <c r="J73" s="478" t="s">
        <v>561</v>
      </c>
      <c r="K73" s="473">
        <v>1</v>
      </c>
      <c r="L73" s="431">
        <v>2</v>
      </c>
      <c r="M73" s="475">
        <v>6560</v>
      </c>
      <c r="N73" s="473">
        <v>1</v>
      </c>
      <c r="O73" s="431">
        <v>6</v>
      </c>
      <c r="P73" s="475">
        <v>17100</v>
      </c>
    </row>
    <row r="74" spans="1:16" ht="48" x14ac:dyDescent="0.2">
      <c r="A74" s="431" t="s">
        <v>539</v>
      </c>
      <c r="B74" s="473" t="s">
        <v>540</v>
      </c>
      <c r="C74" s="431" t="s">
        <v>541</v>
      </c>
      <c r="D74" s="474" t="s">
        <v>748</v>
      </c>
      <c r="E74" s="475">
        <v>6025</v>
      </c>
      <c r="F74" s="431" t="s">
        <v>749</v>
      </c>
      <c r="G74" s="476" t="s">
        <v>750</v>
      </c>
      <c r="H74" s="477" t="s">
        <v>751</v>
      </c>
      <c r="I74" s="477" t="s">
        <v>546</v>
      </c>
      <c r="J74" s="478" t="s">
        <v>751</v>
      </c>
      <c r="K74" s="473">
        <v>1</v>
      </c>
      <c r="L74" s="431">
        <v>1</v>
      </c>
      <c r="M74" s="475">
        <v>5824.17</v>
      </c>
      <c r="N74" s="473">
        <v>1</v>
      </c>
      <c r="O74" s="431">
        <v>6</v>
      </c>
      <c r="P74" s="475">
        <v>36150</v>
      </c>
    </row>
    <row r="75" spans="1:16" ht="36" x14ac:dyDescent="0.2">
      <c r="A75" s="431" t="s">
        <v>539</v>
      </c>
      <c r="B75" s="473" t="s">
        <v>540</v>
      </c>
      <c r="C75" s="431" t="s">
        <v>541</v>
      </c>
      <c r="D75" s="474" t="s">
        <v>752</v>
      </c>
      <c r="E75" s="475">
        <v>5025</v>
      </c>
      <c r="F75" s="431" t="s">
        <v>753</v>
      </c>
      <c r="G75" s="476" t="s">
        <v>754</v>
      </c>
      <c r="H75" s="477" t="s">
        <v>755</v>
      </c>
      <c r="I75" s="477" t="s">
        <v>546</v>
      </c>
      <c r="J75" s="478" t="s">
        <v>755</v>
      </c>
      <c r="K75" s="473">
        <v>1</v>
      </c>
      <c r="L75" s="431">
        <v>1</v>
      </c>
      <c r="M75" s="475">
        <v>4857.5</v>
      </c>
      <c r="N75" s="473">
        <v>1</v>
      </c>
      <c r="O75" s="431">
        <v>6</v>
      </c>
      <c r="P75" s="475">
        <v>30150</v>
      </c>
    </row>
    <row r="76" spans="1:16" ht="24" x14ac:dyDescent="0.2">
      <c r="A76" s="431" t="s">
        <v>539</v>
      </c>
      <c r="B76" s="473" t="s">
        <v>540</v>
      </c>
      <c r="C76" s="431" t="s">
        <v>541</v>
      </c>
      <c r="D76" s="474" t="s">
        <v>756</v>
      </c>
      <c r="E76" s="475">
        <v>2500</v>
      </c>
      <c r="F76" s="431" t="s">
        <v>757</v>
      </c>
      <c r="G76" s="476" t="s">
        <v>758</v>
      </c>
      <c r="H76" s="477" t="s">
        <v>609</v>
      </c>
      <c r="I76" s="477" t="s">
        <v>546</v>
      </c>
      <c r="J76" s="478" t="s">
        <v>609</v>
      </c>
      <c r="K76" s="473">
        <v>1</v>
      </c>
      <c r="L76" s="431">
        <v>12</v>
      </c>
      <c r="M76" s="475">
        <v>30600</v>
      </c>
      <c r="N76" s="473">
        <v>1</v>
      </c>
      <c r="O76" s="431">
        <v>6</v>
      </c>
      <c r="P76" s="475">
        <v>15000</v>
      </c>
    </row>
    <row r="77" spans="1:16" x14ac:dyDescent="0.2">
      <c r="A77" s="431" t="s">
        <v>539</v>
      </c>
      <c r="B77" s="473" t="s">
        <v>540</v>
      </c>
      <c r="C77" s="431" t="s">
        <v>541</v>
      </c>
      <c r="D77" s="474" t="s">
        <v>759</v>
      </c>
      <c r="E77" s="475">
        <v>965</v>
      </c>
      <c r="F77" s="431" t="s">
        <v>760</v>
      </c>
      <c r="G77" s="476" t="s">
        <v>761</v>
      </c>
      <c r="H77" s="477" t="s">
        <v>573</v>
      </c>
      <c r="I77" s="477" t="s">
        <v>546</v>
      </c>
      <c r="J77" s="478" t="s">
        <v>573</v>
      </c>
      <c r="K77" s="473">
        <v>0</v>
      </c>
      <c r="L77" s="431">
        <v>0</v>
      </c>
      <c r="M77" s="475">
        <v>0</v>
      </c>
      <c r="N77" s="473">
        <v>1</v>
      </c>
      <c r="O77" s="431">
        <v>5</v>
      </c>
      <c r="P77" s="475">
        <v>4696.33</v>
      </c>
    </row>
    <row r="78" spans="1:16" ht="36" x14ac:dyDescent="0.2">
      <c r="A78" s="431" t="s">
        <v>539</v>
      </c>
      <c r="B78" s="473" t="s">
        <v>540</v>
      </c>
      <c r="C78" s="431" t="s">
        <v>541</v>
      </c>
      <c r="D78" s="474" t="s">
        <v>619</v>
      </c>
      <c r="E78" s="475">
        <v>2500</v>
      </c>
      <c r="F78" s="431" t="s">
        <v>762</v>
      </c>
      <c r="G78" s="476" t="s">
        <v>763</v>
      </c>
      <c r="H78" s="477" t="s">
        <v>764</v>
      </c>
      <c r="I78" s="477" t="s">
        <v>657</v>
      </c>
      <c r="J78" s="478" t="s">
        <v>550</v>
      </c>
      <c r="K78" s="473">
        <v>1</v>
      </c>
      <c r="L78" s="431">
        <v>12</v>
      </c>
      <c r="M78" s="475">
        <v>30600</v>
      </c>
      <c r="N78" s="473">
        <v>1</v>
      </c>
      <c r="O78" s="431">
        <v>6</v>
      </c>
      <c r="P78" s="475">
        <v>15000</v>
      </c>
    </row>
    <row r="79" spans="1:16" ht="24" x14ac:dyDescent="0.2">
      <c r="A79" s="431" t="s">
        <v>539</v>
      </c>
      <c r="B79" s="473" t="s">
        <v>540</v>
      </c>
      <c r="C79" s="431" t="s">
        <v>541</v>
      </c>
      <c r="D79" s="474" t="s">
        <v>765</v>
      </c>
      <c r="E79" s="475">
        <v>5025</v>
      </c>
      <c r="F79" s="431" t="s">
        <v>766</v>
      </c>
      <c r="G79" s="476" t="s">
        <v>767</v>
      </c>
      <c r="H79" s="477" t="s">
        <v>768</v>
      </c>
      <c r="I79" s="477" t="s">
        <v>546</v>
      </c>
      <c r="J79" s="478" t="s">
        <v>768</v>
      </c>
      <c r="K79" s="473">
        <v>0</v>
      </c>
      <c r="L79" s="431">
        <v>0</v>
      </c>
      <c r="M79" s="475">
        <v>0</v>
      </c>
      <c r="N79" s="473">
        <v>1</v>
      </c>
      <c r="O79" s="431">
        <v>5</v>
      </c>
      <c r="P79" s="475">
        <v>24455</v>
      </c>
    </row>
    <row r="80" spans="1:16" ht="24" x14ac:dyDescent="0.2">
      <c r="A80" s="431" t="s">
        <v>539</v>
      </c>
      <c r="B80" s="473" t="s">
        <v>540</v>
      </c>
      <c r="C80" s="431" t="s">
        <v>541</v>
      </c>
      <c r="D80" s="474" t="s">
        <v>619</v>
      </c>
      <c r="E80" s="475">
        <v>1500</v>
      </c>
      <c r="F80" s="431" t="s">
        <v>769</v>
      </c>
      <c r="G80" s="476" t="s">
        <v>770</v>
      </c>
      <c r="H80" s="477" t="s">
        <v>561</v>
      </c>
      <c r="I80" s="477" t="s">
        <v>562</v>
      </c>
      <c r="J80" s="478" t="s">
        <v>561</v>
      </c>
      <c r="K80" s="473">
        <v>1</v>
      </c>
      <c r="L80" s="431">
        <v>12</v>
      </c>
      <c r="M80" s="475">
        <v>18600</v>
      </c>
      <c r="N80" s="473">
        <v>1</v>
      </c>
      <c r="O80" s="431">
        <v>6</v>
      </c>
      <c r="P80" s="475">
        <v>9000</v>
      </c>
    </row>
    <row r="81" spans="1:16" ht="36" x14ac:dyDescent="0.2">
      <c r="A81" s="431" t="s">
        <v>539</v>
      </c>
      <c r="B81" s="473" t="s">
        <v>540</v>
      </c>
      <c r="C81" s="431" t="s">
        <v>541</v>
      </c>
      <c r="D81" s="474" t="s">
        <v>653</v>
      </c>
      <c r="E81" s="475">
        <v>2150</v>
      </c>
      <c r="F81" s="431" t="s">
        <v>771</v>
      </c>
      <c r="G81" s="476" t="s">
        <v>772</v>
      </c>
      <c r="H81" s="477" t="s">
        <v>656</v>
      </c>
      <c r="I81" s="477" t="s">
        <v>773</v>
      </c>
      <c r="J81" s="478" t="s">
        <v>656</v>
      </c>
      <c r="K81" s="473">
        <v>1</v>
      </c>
      <c r="L81" s="431">
        <v>1</v>
      </c>
      <c r="M81" s="475">
        <v>2293.33</v>
      </c>
      <c r="N81" s="473">
        <v>1</v>
      </c>
      <c r="O81" s="431">
        <v>6</v>
      </c>
      <c r="P81" s="475">
        <v>12900</v>
      </c>
    </row>
    <row r="82" spans="1:16" ht="48" x14ac:dyDescent="0.2">
      <c r="A82" s="431" t="s">
        <v>539</v>
      </c>
      <c r="B82" s="473" t="s">
        <v>540</v>
      </c>
      <c r="C82" s="431" t="s">
        <v>541</v>
      </c>
      <c r="D82" s="474" t="s">
        <v>658</v>
      </c>
      <c r="E82" s="475">
        <v>1850</v>
      </c>
      <c r="F82" s="431" t="s">
        <v>774</v>
      </c>
      <c r="G82" s="476" t="s">
        <v>775</v>
      </c>
      <c r="H82" s="477" t="s">
        <v>550</v>
      </c>
      <c r="I82" s="477" t="s">
        <v>550</v>
      </c>
      <c r="J82" s="478" t="s">
        <v>550</v>
      </c>
      <c r="K82" s="473">
        <v>1</v>
      </c>
      <c r="L82" s="431">
        <v>2</v>
      </c>
      <c r="M82" s="475">
        <v>4293.33</v>
      </c>
      <c r="N82" s="473">
        <v>1</v>
      </c>
      <c r="O82" s="431">
        <v>6</v>
      </c>
      <c r="P82" s="475">
        <v>11100</v>
      </c>
    </row>
    <row r="83" spans="1:16" ht="24" x14ac:dyDescent="0.2">
      <c r="A83" s="431" t="s">
        <v>539</v>
      </c>
      <c r="B83" s="473" t="s">
        <v>540</v>
      </c>
      <c r="C83" s="431" t="s">
        <v>541</v>
      </c>
      <c r="D83" s="474" t="s">
        <v>776</v>
      </c>
      <c r="E83" s="475">
        <v>6000</v>
      </c>
      <c r="F83" s="431" t="s">
        <v>777</v>
      </c>
      <c r="G83" s="476" t="s">
        <v>778</v>
      </c>
      <c r="H83" s="477" t="s">
        <v>550</v>
      </c>
      <c r="I83" s="477" t="s">
        <v>550</v>
      </c>
      <c r="J83" s="477" t="s">
        <v>550</v>
      </c>
      <c r="K83" s="473">
        <v>1</v>
      </c>
      <c r="L83" s="431">
        <v>1</v>
      </c>
      <c r="M83" s="475">
        <v>5800</v>
      </c>
      <c r="N83" s="473">
        <v>1</v>
      </c>
      <c r="O83" s="431">
        <v>6</v>
      </c>
      <c r="P83" s="475">
        <v>36000</v>
      </c>
    </row>
    <row r="84" spans="1:16" ht="24" x14ac:dyDescent="0.2">
      <c r="A84" s="431" t="s">
        <v>539</v>
      </c>
      <c r="B84" s="473" t="s">
        <v>540</v>
      </c>
      <c r="C84" s="431" t="s">
        <v>541</v>
      </c>
      <c r="D84" s="474" t="s">
        <v>713</v>
      </c>
      <c r="E84" s="475">
        <v>1200</v>
      </c>
      <c r="F84" s="431" t="s">
        <v>779</v>
      </c>
      <c r="G84" s="476" t="s">
        <v>780</v>
      </c>
      <c r="H84" s="477" t="s">
        <v>561</v>
      </c>
      <c r="I84" s="477" t="s">
        <v>562</v>
      </c>
      <c r="J84" s="478" t="s">
        <v>561</v>
      </c>
      <c r="K84" s="473">
        <v>1</v>
      </c>
      <c r="L84" s="431">
        <v>12</v>
      </c>
      <c r="M84" s="475">
        <v>15000</v>
      </c>
      <c r="N84" s="473">
        <v>1</v>
      </c>
      <c r="O84" s="431">
        <v>6</v>
      </c>
      <c r="P84" s="475">
        <v>7200</v>
      </c>
    </row>
    <row r="85" spans="1:16" x14ac:dyDescent="0.2">
      <c r="A85" s="431" t="s">
        <v>539</v>
      </c>
      <c r="B85" s="473" t="s">
        <v>540</v>
      </c>
      <c r="C85" s="431" t="s">
        <v>541</v>
      </c>
      <c r="D85" s="474" t="s">
        <v>587</v>
      </c>
      <c r="E85" s="475">
        <v>3000</v>
      </c>
      <c r="F85" s="431" t="s">
        <v>781</v>
      </c>
      <c r="G85" s="476" t="s">
        <v>782</v>
      </c>
      <c r="H85" s="477" t="s">
        <v>609</v>
      </c>
      <c r="I85" s="477" t="s">
        <v>610</v>
      </c>
      <c r="J85" s="478" t="s">
        <v>610</v>
      </c>
      <c r="K85" s="473">
        <v>1</v>
      </c>
      <c r="L85" s="431">
        <v>12</v>
      </c>
      <c r="M85" s="475">
        <v>27400</v>
      </c>
      <c r="N85" s="473">
        <v>1</v>
      </c>
      <c r="O85" s="431">
        <v>6</v>
      </c>
      <c r="P85" s="475">
        <v>18000</v>
      </c>
    </row>
    <row r="86" spans="1:16" ht="24" x14ac:dyDescent="0.2">
      <c r="A86" s="431" t="s">
        <v>539</v>
      </c>
      <c r="B86" s="473" t="s">
        <v>540</v>
      </c>
      <c r="C86" s="431" t="s">
        <v>541</v>
      </c>
      <c r="D86" s="474" t="s">
        <v>558</v>
      </c>
      <c r="E86" s="475">
        <v>2000</v>
      </c>
      <c r="F86" s="431" t="s">
        <v>783</v>
      </c>
      <c r="G86" s="476" t="s">
        <v>784</v>
      </c>
      <c r="H86" s="477" t="s">
        <v>561</v>
      </c>
      <c r="I86" s="477" t="s">
        <v>562</v>
      </c>
      <c r="J86" s="478" t="s">
        <v>561</v>
      </c>
      <c r="K86" s="473">
        <v>1</v>
      </c>
      <c r="L86" s="431">
        <v>2</v>
      </c>
      <c r="M86" s="475">
        <v>4633.33</v>
      </c>
      <c r="N86" s="473">
        <v>1</v>
      </c>
      <c r="O86" s="431">
        <v>6</v>
      </c>
      <c r="P86" s="475">
        <v>12000</v>
      </c>
    </row>
    <row r="87" spans="1:16" ht="48" x14ac:dyDescent="0.2">
      <c r="A87" s="431" t="s">
        <v>539</v>
      </c>
      <c r="B87" s="473" t="s">
        <v>540</v>
      </c>
      <c r="C87" s="431" t="s">
        <v>541</v>
      </c>
      <c r="D87" s="474" t="s">
        <v>658</v>
      </c>
      <c r="E87" s="475">
        <v>1850</v>
      </c>
      <c r="F87" s="431" t="s">
        <v>785</v>
      </c>
      <c r="G87" s="476" t="s">
        <v>786</v>
      </c>
      <c r="H87" s="477" t="s">
        <v>561</v>
      </c>
      <c r="I87" s="477" t="s">
        <v>562</v>
      </c>
      <c r="J87" s="478" t="s">
        <v>561</v>
      </c>
      <c r="K87" s="473">
        <v>1</v>
      </c>
      <c r="L87" s="431">
        <v>2</v>
      </c>
      <c r="M87" s="475">
        <v>4293.33</v>
      </c>
      <c r="N87" s="473">
        <v>1</v>
      </c>
      <c r="O87" s="431">
        <v>6</v>
      </c>
      <c r="P87" s="475">
        <v>11100</v>
      </c>
    </row>
    <row r="88" spans="1:16" ht="24" x14ac:dyDescent="0.2">
      <c r="A88" s="431" t="s">
        <v>539</v>
      </c>
      <c r="B88" s="473" t="s">
        <v>540</v>
      </c>
      <c r="C88" s="431" t="s">
        <v>541</v>
      </c>
      <c r="D88" s="474" t="s">
        <v>542</v>
      </c>
      <c r="E88" s="475">
        <v>3500</v>
      </c>
      <c r="F88" s="431" t="s">
        <v>787</v>
      </c>
      <c r="G88" s="476" t="s">
        <v>788</v>
      </c>
      <c r="H88" s="477" t="s">
        <v>561</v>
      </c>
      <c r="I88" s="477" t="s">
        <v>562</v>
      </c>
      <c r="J88" s="478" t="s">
        <v>561</v>
      </c>
      <c r="K88" s="473">
        <v>1</v>
      </c>
      <c r="L88" s="431">
        <v>12</v>
      </c>
      <c r="M88" s="475">
        <v>42600</v>
      </c>
      <c r="N88" s="473">
        <v>1</v>
      </c>
      <c r="O88" s="431">
        <v>6</v>
      </c>
      <c r="P88" s="475">
        <v>21000</v>
      </c>
    </row>
    <row r="89" spans="1:16" ht="24" x14ac:dyDescent="0.2">
      <c r="A89" s="431" t="s">
        <v>539</v>
      </c>
      <c r="B89" s="473" t="s">
        <v>540</v>
      </c>
      <c r="C89" s="431" t="s">
        <v>541</v>
      </c>
      <c r="D89" s="474" t="s">
        <v>619</v>
      </c>
      <c r="E89" s="475">
        <v>1500</v>
      </c>
      <c r="F89" s="431" t="s">
        <v>789</v>
      </c>
      <c r="G89" s="476" t="s">
        <v>790</v>
      </c>
      <c r="H89" s="477" t="s">
        <v>561</v>
      </c>
      <c r="I89" s="477" t="s">
        <v>562</v>
      </c>
      <c r="J89" s="478" t="s">
        <v>561</v>
      </c>
      <c r="K89" s="473">
        <v>1</v>
      </c>
      <c r="L89" s="431">
        <v>12</v>
      </c>
      <c r="M89" s="475">
        <v>18600</v>
      </c>
      <c r="N89" s="473">
        <v>1</v>
      </c>
      <c r="O89" s="431">
        <v>6</v>
      </c>
      <c r="P89" s="475">
        <v>9000</v>
      </c>
    </row>
    <row r="90" spans="1:16" ht="24" x14ac:dyDescent="0.2">
      <c r="A90" s="431" t="s">
        <v>539</v>
      </c>
      <c r="B90" s="473" t="s">
        <v>540</v>
      </c>
      <c r="C90" s="431" t="s">
        <v>541</v>
      </c>
      <c r="D90" s="474" t="s">
        <v>619</v>
      </c>
      <c r="E90" s="475">
        <v>1500</v>
      </c>
      <c r="F90" s="431" t="s">
        <v>791</v>
      </c>
      <c r="G90" s="476" t="s">
        <v>792</v>
      </c>
      <c r="H90" s="477" t="s">
        <v>561</v>
      </c>
      <c r="I90" s="477" t="s">
        <v>562</v>
      </c>
      <c r="J90" s="478" t="s">
        <v>561</v>
      </c>
      <c r="K90" s="473">
        <v>1</v>
      </c>
      <c r="L90" s="431">
        <v>12</v>
      </c>
      <c r="M90" s="475">
        <v>18600</v>
      </c>
      <c r="N90" s="473">
        <v>1</v>
      </c>
      <c r="O90" s="431">
        <v>6</v>
      </c>
      <c r="P90" s="475">
        <v>9000</v>
      </c>
    </row>
    <row r="91" spans="1:16" ht="36" x14ac:dyDescent="0.2">
      <c r="A91" s="431" t="s">
        <v>539</v>
      </c>
      <c r="B91" s="473" t="s">
        <v>540</v>
      </c>
      <c r="C91" s="431" t="s">
        <v>541</v>
      </c>
      <c r="D91" s="474" t="s">
        <v>793</v>
      </c>
      <c r="E91" s="475">
        <v>3225</v>
      </c>
      <c r="F91" s="431" t="s">
        <v>794</v>
      </c>
      <c r="G91" s="476" t="s">
        <v>795</v>
      </c>
      <c r="H91" s="477" t="s">
        <v>796</v>
      </c>
      <c r="I91" s="477" t="s">
        <v>580</v>
      </c>
      <c r="J91" s="478" t="s">
        <v>580</v>
      </c>
      <c r="K91" s="473">
        <v>1</v>
      </c>
      <c r="L91" s="431">
        <v>12</v>
      </c>
      <c r="M91" s="475">
        <v>23767.5</v>
      </c>
      <c r="N91" s="473">
        <v>1</v>
      </c>
      <c r="O91" s="431">
        <v>6</v>
      </c>
      <c r="P91" s="475">
        <v>19350</v>
      </c>
    </row>
    <row r="92" spans="1:16" x14ac:dyDescent="0.2">
      <c r="A92" s="431" t="s">
        <v>539</v>
      </c>
      <c r="B92" s="473" t="s">
        <v>540</v>
      </c>
      <c r="C92" s="431" t="s">
        <v>541</v>
      </c>
      <c r="D92" s="474" t="s">
        <v>587</v>
      </c>
      <c r="E92" s="475">
        <v>3300</v>
      </c>
      <c r="F92" s="431" t="s">
        <v>797</v>
      </c>
      <c r="G92" s="476" t="s">
        <v>798</v>
      </c>
      <c r="H92" s="477" t="s">
        <v>609</v>
      </c>
      <c r="I92" s="477" t="s">
        <v>610</v>
      </c>
      <c r="J92" s="478" t="s">
        <v>610</v>
      </c>
      <c r="K92" s="473">
        <v>1</v>
      </c>
      <c r="L92" s="431">
        <v>9</v>
      </c>
      <c r="M92" s="475">
        <v>28460</v>
      </c>
      <c r="N92" s="473">
        <v>0</v>
      </c>
      <c r="O92" s="431">
        <v>0</v>
      </c>
      <c r="P92" s="475">
        <v>0</v>
      </c>
    </row>
    <row r="93" spans="1:16" ht="36" x14ac:dyDescent="0.2">
      <c r="A93" s="431" t="s">
        <v>539</v>
      </c>
      <c r="B93" s="473" t="s">
        <v>540</v>
      </c>
      <c r="C93" s="431" t="s">
        <v>541</v>
      </c>
      <c r="D93" s="474" t="s">
        <v>799</v>
      </c>
      <c r="E93" s="475">
        <v>5000</v>
      </c>
      <c r="F93" s="431" t="s">
        <v>800</v>
      </c>
      <c r="G93" s="476" t="s">
        <v>801</v>
      </c>
      <c r="H93" s="477" t="s">
        <v>638</v>
      </c>
      <c r="I93" s="477" t="s">
        <v>555</v>
      </c>
      <c r="J93" s="477" t="s">
        <v>638</v>
      </c>
      <c r="K93" s="473">
        <v>1</v>
      </c>
      <c r="L93" s="431">
        <v>12</v>
      </c>
      <c r="M93" s="475">
        <v>60600</v>
      </c>
      <c r="N93" s="473">
        <v>1</v>
      </c>
      <c r="O93" s="431">
        <v>6</v>
      </c>
      <c r="P93" s="475">
        <v>30000</v>
      </c>
    </row>
    <row r="94" spans="1:16" ht="24" x14ac:dyDescent="0.2">
      <c r="A94" s="431" t="s">
        <v>539</v>
      </c>
      <c r="B94" s="473" t="s">
        <v>540</v>
      </c>
      <c r="C94" s="431" t="s">
        <v>541</v>
      </c>
      <c r="D94" s="474" t="s">
        <v>802</v>
      </c>
      <c r="E94" s="475">
        <v>5500</v>
      </c>
      <c r="F94" s="431" t="s">
        <v>803</v>
      </c>
      <c r="G94" s="476" t="s">
        <v>804</v>
      </c>
      <c r="H94" s="477" t="s">
        <v>573</v>
      </c>
      <c r="I94" s="477" t="s">
        <v>546</v>
      </c>
      <c r="J94" s="478" t="s">
        <v>610</v>
      </c>
      <c r="K94" s="473">
        <v>1</v>
      </c>
      <c r="L94" s="431">
        <v>12</v>
      </c>
      <c r="M94" s="475">
        <v>66600</v>
      </c>
      <c r="N94" s="473">
        <v>1</v>
      </c>
      <c r="O94" s="431">
        <v>6</v>
      </c>
      <c r="P94" s="475">
        <v>33000</v>
      </c>
    </row>
    <row r="95" spans="1:16" ht="144" x14ac:dyDescent="0.2">
      <c r="A95" s="431" t="s">
        <v>539</v>
      </c>
      <c r="B95" s="473" t="s">
        <v>540</v>
      </c>
      <c r="C95" s="431" t="s">
        <v>541</v>
      </c>
      <c r="D95" s="474" t="s">
        <v>805</v>
      </c>
      <c r="E95" s="475">
        <v>5500</v>
      </c>
      <c r="F95" s="431" t="s">
        <v>806</v>
      </c>
      <c r="G95" s="476" t="s">
        <v>807</v>
      </c>
      <c r="H95" s="477" t="s">
        <v>609</v>
      </c>
      <c r="I95" s="477" t="s">
        <v>610</v>
      </c>
      <c r="J95" s="478" t="s">
        <v>610</v>
      </c>
      <c r="K95" s="473">
        <v>1</v>
      </c>
      <c r="L95" s="431">
        <v>12</v>
      </c>
      <c r="M95" s="475">
        <v>66600</v>
      </c>
      <c r="N95" s="473">
        <v>1</v>
      </c>
      <c r="O95" s="431">
        <v>6</v>
      </c>
      <c r="P95" s="475">
        <v>33000</v>
      </c>
    </row>
    <row r="96" spans="1:16" ht="24" x14ac:dyDescent="0.2">
      <c r="A96" s="431" t="s">
        <v>539</v>
      </c>
      <c r="B96" s="473" t="s">
        <v>540</v>
      </c>
      <c r="C96" s="431" t="s">
        <v>541</v>
      </c>
      <c r="D96" s="474" t="s">
        <v>808</v>
      </c>
      <c r="E96" s="475">
        <v>5000</v>
      </c>
      <c r="F96" s="431" t="s">
        <v>809</v>
      </c>
      <c r="G96" s="476" t="s">
        <v>810</v>
      </c>
      <c r="H96" s="477" t="s">
        <v>609</v>
      </c>
      <c r="I96" s="477" t="s">
        <v>610</v>
      </c>
      <c r="J96" s="478" t="s">
        <v>610</v>
      </c>
      <c r="K96" s="473">
        <v>1</v>
      </c>
      <c r="L96" s="431">
        <v>12</v>
      </c>
      <c r="M96" s="475">
        <v>60600</v>
      </c>
      <c r="N96" s="473">
        <v>1</v>
      </c>
      <c r="O96" s="431">
        <v>6</v>
      </c>
      <c r="P96" s="475">
        <v>30000</v>
      </c>
    </row>
    <row r="97" spans="1:16" ht="24" x14ac:dyDescent="0.2">
      <c r="A97" s="431" t="s">
        <v>539</v>
      </c>
      <c r="B97" s="473" t="s">
        <v>540</v>
      </c>
      <c r="C97" s="431" t="s">
        <v>541</v>
      </c>
      <c r="D97" s="474" t="s">
        <v>811</v>
      </c>
      <c r="E97" s="475">
        <v>5000</v>
      </c>
      <c r="F97" s="431" t="s">
        <v>812</v>
      </c>
      <c r="G97" s="476" t="s">
        <v>813</v>
      </c>
      <c r="H97" s="477" t="s">
        <v>638</v>
      </c>
      <c r="I97" s="477" t="s">
        <v>610</v>
      </c>
      <c r="J97" s="478" t="s">
        <v>610</v>
      </c>
      <c r="K97" s="473">
        <v>1</v>
      </c>
      <c r="L97" s="431">
        <v>12</v>
      </c>
      <c r="M97" s="475">
        <v>50400</v>
      </c>
      <c r="N97" s="473">
        <v>1</v>
      </c>
      <c r="O97" s="431">
        <v>6</v>
      </c>
      <c r="P97" s="475">
        <v>30000</v>
      </c>
    </row>
    <row r="98" spans="1:16" ht="24" x14ac:dyDescent="0.2">
      <c r="A98" s="431" t="s">
        <v>539</v>
      </c>
      <c r="B98" s="473" t="s">
        <v>540</v>
      </c>
      <c r="C98" s="431" t="s">
        <v>541</v>
      </c>
      <c r="D98" s="474" t="s">
        <v>587</v>
      </c>
      <c r="E98" s="475">
        <v>2500</v>
      </c>
      <c r="F98" s="431" t="s">
        <v>814</v>
      </c>
      <c r="G98" s="476" t="s">
        <v>815</v>
      </c>
      <c r="H98" s="477" t="s">
        <v>816</v>
      </c>
      <c r="I98" s="477" t="s">
        <v>816</v>
      </c>
      <c r="J98" s="478"/>
      <c r="K98" s="473">
        <v>0</v>
      </c>
      <c r="L98" s="431">
        <v>0</v>
      </c>
      <c r="M98" s="475">
        <v>0</v>
      </c>
      <c r="N98" s="473">
        <v>1</v>
      </c>
      <c r="O98" s="431">
        <v>6</v>
      </c>
      <c r="P98" s="475">
        <v>15916.67</v>
      </c>
    </row>
    <row r="99" spans="1:16" x14ac:dyDescent="0.2">
      <c r="A99" s="431" t="s">
        <v>539</v>
      </c>
      <c r="B99" s="473" t="s">
        <v>540</v>
      </c>
      <c r="C99" s="431" t="s">
        <v>541</v>
      </c>
      <c r="D99" s="474" t="s">
        <v>609</v>
      </c>
      <c r="E99" s="475">
        <v>6025</v>
      </c>
      <c r="F99" s="431" t="s">
        <v>817</v>
      </c>
      <c r="G99" s="476" t="s">
        <v>818</v>
      </c>
      <c r="H99" s="477" t="s">
        <v>609</v>
      </c>
      <c r="I99" s="477" t="s">
        <v>546</v>
      </c>
      <c r="J99" s="478" t="s">
        <v>609</v>
      </c>
      <c r="K99" s="473">
        <v>1</v>
      </c>
      <c r="L99" s="431">
        <v>1</v>
      </c>
      <c r="M99" s="475">
        <v>5824.17</v>
      </c>
      <c r="N99" s="473">
        <v>1</v>
      </c>
      <c r="O99" s="431">
        <v>6</v>
      </c>
      <c r="P99" s="475">
        <v>36150</v>
      </c>
    </row>
    <row r="100" spans="1:16" x14ac:dyDescent="0.2">
      <c r="A100" s="431" t="s">
        <v>539</v>
      </c>
      <c r="B100" s="473" t="s">
        <v>540</v>
      </c>
      <c r="C100" s="431" t="s">
        <v>541</v>
      </c>
      <c r="D100" s="474" t="s">
        <v>576</v>
      </c>
      <c r="E100" s="475">
        <v>1850</v>
      </c>
      <c r="F100" s="431" t="s">
        <v>819</v>
      </c>
      <c r="G100" s="476" t="s">
        <v>820</v>
      </c>
      <c r="H100" s="477" t="s">
        <v>609</v>
      </c>
      <c r="I100" s="477" t="s">
        <v>546</v>
      </c>
      <c r="J100" s="478" t="s">
        <v>609</v>
      </c>
      <c r="K100" s="473">
        <v>1</v>
      </c>
      <c r="L100" s="431">
        <v>12</v>
      </c>
      <c r="M100" s="475">
        <v>22800</v>
      </c>
      <c r="N100" s="473">
        <v>1</v>
      </c>
      <c r="O100" s="431">
        <v>6</v>
      </c>
      <c r="P100" s="475">
        <v>11100</v>
      </c>
    </row>
    <row r="101" spans="1:16" ht="24" x14ac:dyDescent="0.2">
      <c r="A101" s="431" t="s">
        <v>539</v>
      </c>
      <c r="B101" s="473" t="s">
        <v>540</v>
      </c>
      <c r="C101" s="431" t="s">
        <v>541</v>
      </c>
      <c r="D101" s="474" t="s">
        <v>587</v>
      </c>
      <c r="E101" s="475">
        <v>3300</v>
      </c>
      <c r="F101" s="431" t="s">
        <v>821</v>
      </c>
      <c r="G101" s="476" t="s">
        <v>822</v>
      </c>
      <c r="H101" s="477" t="s">
        <v>561</v>
      </c>
      <c r="I101" s="477" t="s">
        <v>562</v>
      </c>
      <c r="J101" s="478" t="s">
        <v>561</v>
      </c>
      <c r="K101" s="473">
        <v>0</v>
      </c>
      <c r="L101" s="431">
        <v>0</v>
      </c>
      <c r="M101" s="475">
        <v>0</v>
      </c>
      <c r="N101" s="473">
        <v>1</v>
      </c>
      <c r="O101" s="431">
        <v>6</v>
      </c>
      <c r="P101" s="475">
        <v>21010</v>
      </c>
    </row>
    <row r="102" spans="1:16" ht="48" x14ac:dyDescent="0.2">
      <c r="A102" s="431" t="s">
        <v>539</v>
      </c>
      <c r="B102" s="473" t="s">
        <v>540</v>
      </c>
      <c r="C102" s="431" t="s">
        <v>541</v>
      </c>
      <c r="D102" s="474" t="s">
        <v>823</v>
      </c>
      <c r="E102" s="475">
        <v>3400</v>
      </c>
      <c r="F102" s="431" t="s">
        <v>824</v>
      </c>
      <c r="G102" s="476" t="s">
        <v>825</v>
      </c>
      <c r="H102" s="477" t="s">
        <v>603</v>
      </c>
      <c r="I102" s="477" t="s">
        <v>546</v>
      </c>
      <c r="J102" s="477" t="s">
        <v>826</v>
      </c>
      <c r="K102" s="473">
        <v>1</v>
      </c>
      <c r="L102" s="431">
        <v>1</v>
      </c>
      <c r="M102" s="475">
        <v>3626.67</v>
      </c>
      <c r="N102" s="473">
        <v>1</v>
      </c>
      <c r="O102" s="431">
        <v>6</v>
      </c>
      <c r="P102" s="475">
        <v>20400</v>
      </c>
    </row>
    <row r="103" spans="1:16" ht="24" x14ac:dyDescent="0.2">
      <c r="A103" s="431" t="s">
        <v>539</v>
      </c>
      <c r="B103" s="473" t="s">
        <v>540</v>
      </c>
      <c r="C103" s="431" t="s">
        <v>541</v>
      </c>
      <c r="D103" s="474" t="s">
        <v>542</v>
      </c>
      <c r="E103" s="475">
        <v>3000</v>
      </c>
      <c r="F103" s="431" t="s">
        <v>827</v>
      </c>
      <c r="G103" s="476" t="s">
        <v>828</v>
      </c>
      <c r="H103" s="477" t="s">
        <v>561</v>
      </c>
      <c r="I103" s="477" t="s">
        <v>562</v>
      </c>
      <c r="J103" s="478" t="s">
        <v>561</v>
      </c>
      <c r="K103" s="473">
        <v>1</v>
      </c>
      <c r="L103" s="431">
        <v>12</v>
      </c>
      <c r="M103" s="475">
        <v>36600</v>
      </c>
      <c r="N103" s="473">
        <v>1</v>
      </c>
      <c r="O103" s="431">
        <v>6</v>
      </c>
      <c r="P103" s="475">
        <v>18000</v>
      </c>
    </row>
    <row r="104" spans="1:16" ht="24" x14ac:dyDescent="0.2">
      <c r="A104" s="431" t="s">
        <v>539</v>
      </c>
      <c r="B104" s="473" t="s">
        <v>540</v>
      </c>
      <c r="C104" s="431" t="s">
        <v>541</v>
      </c>
      <c r="D104" s="474" t="s">
        <v>619</v>
      </c>
      <c r="E104" s="475">
        <v>1500</v>
      </c>
      <c r="F104" s="431" t="s">
        <v>829</v>
      </c>
      <c r="G104" s="476" t="s">
        <v>830</v>
      </c>
      <c r="H104" s="477" t="s">
        <v>831</v>
      </c>
      <c r="I104" s="477" t="s">
        <v>546</v>
      </c>
      <c r="J104" s="478" t="s">
        <v>831</v>
      </c>
      <c r="K104" s="473">
        <v>1</v>
      </c>
      <c r="L104" s="431">
        <v>12</v>
      </c>
      <c r="M104" s="475">
        <v>18600</v>
      </c>
      <c r="N104" s="473">
        <v>1</v>
      </c>
      <c r="O104" s="431">
        <v>6</v>
      </c>
      <c r="P104" s="475">
        <v>9000</v>
      </c>
    </row>
    <row r="105" spans="1:16" ht="24" x14ac:dyDescent="0.2">
      <c r="A105" s="431" t="s">
        <v>539</v>
      </c>
      <c r="B105" s="473" t="s">
        <v>540</v>
      </c>
      <c r="C105" s="431" t="s">
        <v>541</v>
      </c>
      <c r="D105" s="474" t="s">
        <v>738</v>
      </c>
      <c r="E105" s="475">
        <v>5000</v>
      </c>
      <c r="F105" s="431" t="s">
        <v>832</v>
      </c>
      <c r="G105" s="476" t="s">
        <v>833</v>
      </c>
      <c r="H105" s="477" t="s">
        <v>831</v>
      </c>
      <c r="I105" s="477" t="s">
        <v>546</v>
      </c>
      <c r="J105" s="478" t="s">
        <v>831</v>
      </c>
      <c r="K105" s="473">
        <v>1</v>
      </c>
      <c r="L105" s="431">
        <v>1</v>
      </c>
      <c r="M105" s="475">
        <v>5666.67</v>
      </c>
      <c r="N105" s="473">
        <v>1</v>
      </c>
      <c r="O105" s="431">
        <v>6</v>
      </c>
      <c r="P105" s="475">
        <v>30000</v>
      </c>
    </row>
    <row r="106" spans="1:16" ht="84" x14ac:dyDescent="0.2">
      <c r="A106" s="431" t="s">
        <v>539</v>
      </c>
      <c r="B106" s="473" t="s">
        <v>540</v>
      </c>
      <c r="C106" s="431" t="s">
        <v>541</v>
      </c>
      <c r="D106" s="474" t="s">
        <v>834</v>
      </c>
      <c r="E106" s="475">
        <v>3500</v>
      </c>
      <c r="F106" s="431" t="s">
        <v>835</v>
      </c>
      <c r="G106" s="476" t="s">
        <v>836</v>
      </c>
      <c r="H106" s="477" t="s">
        <v>738</v>
      </c>
      <c r="I106" s="477" t="s">
        <v>610</v>
      </c>
      <c r="J106" s="478" t="s">
        <v>610</v>
      </c>
      <c r="K106" s="473">
        <v>1</v>
      </c>
      <c r="L106" s="431">
        <v>12</v>
      </c>
      <c r="M106" s="475">
        <v>42600</v>
      </c>
      <c r="N106" s="473">
        <v>1</v>
      </c>
      <c r="O106" s="431">
        <v>6</v>
      </c>
      <c r="P106" s="475">
        <v>21000</v>
      </c>
    </row>
    <row r="107" spans="1:16" ht="36" x14ac:dyDescent="0.2">
      <c r="A107" s="431" t="s">
        <v>539</v>
      </c>
      <c r="B107" s="473" t="s">
        <v>540</v>
      </c>
      <c r="C107" s="431" t="s">
        <v>541</v>
      </c>
      <c r="D107" s="474" t="s">
        <v>723</v>
      </c>
      <c r="E107" s="475">
        <v>5550</v>
      </c>
      <c r="F107" s="431" t="s">
        <v>837</v>
      </c>
      <c r="G107" s="476" t="s">
        <v>838</v>
      </c>
      <c r="H107" s="477" t="s">
        <v>550</v>
      </c>
      <c r="I107" s="477" t="s">
        <v>550</v>
      </c>
      <c r="J107" s="477" t="s">
        <v>550</v>
      </c>
      <c r="K107" s="473">
        <v>1</v>
      </c>
      <c r="L107" s="431">
        <v>2</v>
      </c>
      <c r="M107" s="475">
        <v>12680</v>
      </c>
      <c r="N107" s="473">
        <v>1</v>
      </c>
      <c r="O107" s="431">
        <v>5</v>
      </c>
      <c r="P107" s="475">
        <v>27750</v>
      </c>
    </row>
    <row r="108" spans="1:16" ht="24" x14ac:dyDescent="0.2">
      <c r="A108" s="431" t="s">
        <v>539</v>
      </c>
      <c r="B108" s="473" t="s">
        <v>540</v>
      </c>
      <c r="C108" s="431" t="s">
        <v>541</v>
      </c>
      <c r="D108" s="474" t="s">
        <v>839</v>
      </c>
      <c r="E108" s="475">
        <v>1500</v>
      </c>
      <c r="F108" s="431" t="s">
        <v>840</v>
      </c>
      <c r="G108" s="476" t="s">
        <v>841</v>
      </c>
      <c r="H108" s="477" t="s">
        <v>550</v>
      </c>
      <c r="I108" s="477" t="s">
        <v>550</v>
      </c>
      <c r="J108" s="478" t="s">
        <v>550</v>
      </c>
      <c r="K108" s="473">
        <v>1</v>
      </c>
      <c r="L108" s="431">
        <v>12</v>
      </c>
      <c r="M108" s="475">
        <v>18600</v>
      </c>
      <c r="N108" s="473">
        <v>0</v>
      </c>
      <c r="O108" s="431">
        <v>0</v>
      </c>
      <c r="P108" s="475">
        <v>0</v>
      </c>
    </row>
    <row r="109" spans="1:16" ht="24" x14ac:dyDescent="0.2">
      <c r="A109" s="431" t="s">
        <v>539</v>
      </c>
      <c r="B109" s="473" t="s">
        <v>540</v>
      </c>
      <c r="C109" s="431" t="s">
        <v>541</v>
      </c>
      <c r="D109" s="474" t="s">
        <v>613</v>
      </c>
      <c r="E109" s="475">
        <v>2300</v>
      </c>
      <c r="F109" s="431" t="s">
        <v>842</v>
      </c>
      <c r="G109" s="476" t="s">
        <v>843</v>
      </c>
      <c r="H109" s="477" t="s">
        <v>550</v>
      </c>
      <c r="I109" s="477" t="s">
        <v>550</v>
      </c>
      <c r="J109" s="478" t="s">
        <v>550</v>
      </c>
      <c r="K109" s="473">
        <v>1</v>
      </c>
      <c r="L109" s="431">
        <v>12</v>
      </c>
      <c r="M109" s="475">
        <v>28200</v>
      </c>
      <c r="N109" s="473">
        <v>1</v>
      </c>
      <c r="O109" s="431">
        <v>6</v>
      </c>
      <c r="P109" s="475">
        <v>13800</v>
      </c>
    </row>
    <row r="110" spans="1:16" ht="24" x14ac:dyDescent="0.2">
      <c r="A110" s="431" t="s">
        <v>539</v>
      </c>
      <c r="B110" s="473" t="s">
        <v>540</v>
      </c>
      <c r="C110" s="431" t="s">
        <v>541</v>
      </c>
      <c r="D110" s="474" t="s">
        <v>542</v>
      </c>
      <c r="E110" s="475">
        <v>3300</v>
      </c>
      <c r="F110" s="431" t="s">
        <v>844</v>
      </c>
      <c r="G110" s="476" t="s">
        <v>845</v>
      </c>
      <c r="H110" s="477" t="s">
        <v>550</v>
      </c>
      <c r="I110" s="477" t="s">
        <v>550</v>
      </c>
      <c r="J110" s="477" t="s">
        <v>550</v>
      </c>
      <c r="K110" s="473">
        <v>1</v>
      </c>
      <c r="L110" s="431">
        <v>12</v>
      </c>
      <c r="M110" s="475">
        <v>40200</v>
      </c>
      <c r="N110" s="473">
        <v>1</v>
      </c>
      <c r="O110" s="431">
        <v>1</v>
      </c>
      <c r="P110" s="475">
        <v>2310</v>
      </c>
    </row>
    <row r="111" spans="1:16" x14ac:dyDescent="0.2">
      <c r="A111" s="431" t="s">
        <v>539</v>
      </c>
      <c r="B111" s="473" t="s">
        <v>540</v>
      </c>
      <c r="C111" s="431" t="s">
        <v>541</v>
      </c>
      <c r="D111" s="474" t="s">
        <v>587</v>
      </c>
      <c r="E111" s="475">
        <v>2500</v>
      </c>
      <c r="F111" s="431" t="s">
        <v>846</v>
      </c>
      <c r="G111" s="476" t="s">
        <v>847</v>
      </c>
      <c r="H111" s="477" t="s">
        <v>609</v>
      </c>
      <c r="I111" s="477" t="s">
        <v>610</v>
      </c>
      <c r="J111" s="478" t="s">
        <v>610</v>
      </c>
      <c r="K111" s="473">
        <v>1</v>
      </c>
      <c r="L111" s="431">
        <v>9</v>
      </c>
      <c r="M111" s="475">
        <v>22800</v>
      </c>
      <c r="N111" s="473">
        <v>0</v>
      </c>
      <c r="O111" s="431">
        <v>0</v>
      </c>
      <c r="P111" s="475">
        <v>0</v>
      </c>
    </row>
    <row r="112" spans="1:16" ht="36" x14ac:dyDescent="0.2">
      <c r="A112" s="431" t="s">
        <v>539</v>
      </c>
      <c r="B112" s="473" t="s">
        <v>540</v>
      </c>
      <c r="C112" s="431" t="s">
        <v>541</v>
      </c>
      <c r="D112" s="474" t="s">
        <v>848</v>
      </c>
      <c r="E112" s="475">
        <v>3000</v>
      </c>
      <c r="F112" s="431" t="s">
        <v>849</v>
      </c>
      <c r="G112" s="476" t="s">
        <v>850</v>
      </c>
      <c r="H112" s="477" t="s">
        <v>550</v>
      </c>
      <c r="I112" s="477" t="s">
        <v>550</v>
      </c>
      <c r="J112" s="478" t="s">
        <v>550</v>
      </c>
      <c r="K112" s="473">
        <v>1</v>
      </c>
      <c r="L112" s="431">
        <v>12</v>
      </c>
      <c r="M112" s="475">
        <v>36600</v>
      </c>
      <c r="N112" s="473">
        <v>1</v>
      </c>
      <c r="O112" s="431">
        <v>1</v>
      </c>
      <c r="P112" s="475">
        <v>3000</v>
      </c>
    </row>
    <row r="113" spans="1:16" x14ac:dyDescent="0.2">
      <c r="A113" s="431" t="s">
        <v>539</v>
      </c>
      <c r="B113" s="473" t="s">
        <v>540</v>
      </c>
      <c r="C113" s="431" t="s">
        <v>541</v>
      </c>
      <c r="D113" s="474" t="s">
        <v>587</v>
      </c>
      <c r="E113" s="475">
        <v>3450</v>
      </c>
      <c r="F113" s="431" t="s">
        <v>851</v>
      </c>
      <c r="G113" s="476" t="s">
        <v>852</v>
      </c>
      <c r="H113" s="477" t="s">
        <v>609</v>
      </c>
      <c r="I113" s="477" t="s">
        <v>546</v>
      </c>
      <c r="J113" s="478" t="s">
        <v>609</v>
      </c>
      <c r="K113" s="473">
        <v>1</v>
      </c>
      <c r="L113" s="431">
        <v>1</v>
      </c>
      <c r="M113" s="475">
        <v>3335</v>
      </c>
      <c r="N113" s="473">
        <v>1</v>
      </c>
      <c r="O113" s="431">
        <v>6</v>
      </c>
      <c r="P113" s="475">
        <v>19665</v>
      </c>
    </row>
    <row r="114" spans="1:16" x14ac:dyDescent="0.2">
      <c r="A114" s="431" t="s">
        <v>539</v>
      </c>
      <c r="B114" s="473" t="s">
        <v>540</v>
      </c>
      <c r="C114" s="431" t="s">
        <v>541</v>
      </c>
      <c r="D114" s="474" t="s">
        <v>609</v>
      </c>
      <c r="E114" s="475">
        <v>3500</v>
      </c>
      <c r="F114" s="431" t="s">
        <v>853</v>
      </c>
      <c r="G114" s="476" t="s">
        <v>854</v>
      </c>
      <c r="H114" s="477" t="s">
        <v>609</v>
      </c>
      <c r="I114" s="477" t="s">
        <v>546</v>
      </c>
      <c r="J114" s="478" t="s">
        <v>610</v>
      </c>
      <c r="K114" s="473">
        <v>1</v>
      </c>
      <c r="L114" s="431">
        <v>12</v>
      </c>
      <c r="M114" s="475">
        <v>42600</v>
      </c>
      <c r="N114" s="473">
        <v>1</v>
      </c>
      <c r="O114" s="431">
        <v>6</v>
      </c>
      <c r="P114" s="475">
        <v>21000</v>
      </c>
    </row>
    <row r="115" spans="1:16" ht="24" x14ac:dyDescent="0.2">
      <c r="A115" s="431" t="s">
        <v>539</v>
      </c>
      <c r="B115" s="473" t="s">
        <v>540</v>
      </c>
      <c r="C115" s="431" t="s">
        <v>541</v>
      </c>
      <c r="D115" s="474" t="s">
        <v>855</v>
      </c>
      <c r="E115" s="475">
        <v>1500</v>
      </c>
      <c r="F115" s="431" t="s">
        <v>856</v>
      </c>
      <c r="G115" s="476" t="s">
        <v>857</v>
      </c>
      <c r="H115" s="477" t="s">
        <v>609</v>
      </c>
      <c r="I115" s="477" t="s">
        <v>546</v>
      </c>
      <c r="J115" s="478" t="s">
        <v>609</v>
      </c>
      <c r="K115" s="473">
        <v>1</v>
      </c>
      <c r="L115" s="431">
        <v>2</v>
      </c>
      <c r="M115" s="475">
        <v>3500</v>
      </c>
      <c r="N115" s="473">
        <v>1</v>
      </c>
      <c r="O115" s="431">
        <v>6</v>
      </c>
      <c r="P115" s="475">
        <v>9000</v>
      </c>
    </row>
    <row r="116" spans="1:16" x14ac:dyDescent="0.2">
      <c r="A116" s="431" t="s">
        <v>539</v>
      </c>
      <c r="B116" s="473" t="s">
        <v>540</v>
      </c>
      <c r="C116" s="431" t="s">
        <v>541</v>
      </c>
      <c r="D116" s="474" t="s">
        <v>858</v>
      </c>
      <c r="E116" s="475">
        <v>5550</v>
      </c>
      <c r="F116" s="431" t="s">
        <v>859</v>
      </c>
      <c r="G116" s="476" t="s">
        <v>860</v>
      </c>
      <c r="H116" s="477" t="s">
        <v>609</v>
      </c>
      <c r="I116" s="477" t="s">
        <v>546</v>
      </c>
      <c r="J116" s="478" t="s">
        <v>609</v>
      </c>
      <c r="K116" s="473">
        <v>1</v>
      </c>
      <c r="L116" s="431">
        <v>1</v>
      </c>
      <c r="M116" s="475">
        <v>5365</v>
      </c>
      <c r="N116" s="473">
        <v>1</v>
      </c>
      <c r="O116" s="431">
        <v>6</v>
      </c>
      <c r="P116" s="475">
        <v>33300</v>
      </c>
    </row>
    <row r="117" spans="1:16" x14ac:dyDescent="0.2">
      <c r="A117" s="431" t="s">
        <v>539</v>
      </c>
      <c r="B117" s="473" t="s">
        <v>540</v>
      </c>
      <c r="C117" s="431" t="s">
        <v>541</v>
      </c>
      <c r="D117" s="474" t="s">
        <v>587</v>
      </c>
      <c r="E117" s="475">
        <v>3500</v>
      </c>
      <c r="F117" s="431" t="s">
        <v>861</v>
      </c>
      <c r="G117" s="476" t="s">
        <v>862</v>
      </c>
      <c r="H117" s="477" t="s">
        <v>609</v>
      </c>
      <c r="I117" s="477" t="s">
        <v>610</v>
      </c>
      <c r="J117" s="478" t="s">
        <v>610</v>
      </c>
      <c r="K117" s="473">
        <v>1</v>
      </c>
      <c r="L117" s="431">
        <v>12</v>
      </c>
      <c r="M117" s="475">
        <v>42600</v>
      </c>
      <c r="N117" s="473">
        <v>1</v>
      </c>
      <c r="O117" s="431">
        <v>3</v>
      </c>
      <c r="P117" s="475">
        <v>8283.33</v>
      </c>
    </row>
    <row r="118" spans="1:16" ht="24" x14ac:dyDescent="0.2">
      <c r="A118" s="431" t="s">
        <v>539</v>
      </c>
      <c r="B118" s="473" t="s">
        <v>540</v>
      </c>
      <c r="C118" s="431" t="s">
        <v>541</v>
      </c>
      <c r="D118" s="474" t="s">
        <v>576</v>
      </c>
      <c r="E118" s="475">
        <v>1850</v>
      </c>
      <c r="F118" s="431" t="s">
        <v>863</v>
      </c>
      <c r="G118" s="476" t="s">
        <v>864</v>
      </c>
      <c r="H118" s="477" t="s">
        <v>561</v>
      </c>
      <c r="I118" s="477" t="s">
        <v>562</v>
      </c>
      <c r="J118" s="478" t="s">
        <v>561</v>
      </c>
      <c r="K118" s="473">
        <v>1</v>
      </c>
      <c r="L118" s="431">
        <v>12</v>
      </c>
      <c r="M118" s="475">
        <v>20274.669999999998</v>
      </c>
      <c r="N118" s="473">
        <v>1</v>
      </c>
      <c r="O118" s="431">
        <v>6</v>
      </c>
      <c r="P118" s="475">
        <v>11100</v>
      </c>
    </row>
    <row r="119" spans="1:16" ht="24" x14ac:dyDescent="0.2">
      <c r="A119" s="431" t="s">
        <v>539</v>
      </c>
      <c r="B119" s="473" t="s">
        <v>540</v>
      </c>
      <c r="C119" s="431" t="s">
        <v>541</v>
      </c>
      <c r="D119" s="474" t="s">
        <v>619</v>
      </c>
      <c r="E119" s="475">
        <v>1500</v>
      </c>
      <c r="F119" s="431" t="s">
        <v>865</v>
      </c>
      <c r="G119" s="476" t="s">
        <v>866</v>
      </c>
      <c r="H119" s="477" t="s">
        <v>561</v>
      </c>
      <c r="I119" s="477" t="s">
        <v>562</v>
      </c>
      <c r="J119" s="478" t="s">
        <v>561</v>
      </c>
      <c r="K119" s="473">
        <v>1</v>
      </c>
      <c r="L119" s="431">
        <v>12</v>
      </c>
      <c r="M119" s="475">
        <v>18600</v>
      </c>
      <c r="N119" s="473">
        <v>1</v>
      </c>
      <c r="O119" s="431">
        <v>6</v>
      </c>
      <c r="P119" s="475">
        <v>9000</v>
      </c>
    </row>
    <row r="120" spans="1:16" ht="24" x14ac:dyDescent="0.2">
      <c r="A120" s="431" t="s">
        <v>539</v>
      </c>
      <c r="B120" s="473" t="s">
        <v>540</v>
      </c>
      <c r="C120" s="431" t="s">
        <v>541</v>
      </c>
      <c r="D120" s="474" t="s">
        <v>867</v>
      </c>
      <c r="E120" s="475">
        <v>2000</v>
      </c>
      <c r="F120" s="431" t="s">
        <v>868</v>
      </c>
      <c r="G120" s="476" t="s">
        <v>869</v>
      </c>
      <c r="H120" s="477" t="s">
        <v>550</v>
      </c>
      <c r="I120" s="477" t="s">
        <v>550</v>
      </c>
      <c r="J120" s="478" t="s">
        <v>550</v>
      </c>
      <c r="K120" s="473">
        <v>1</v>
      </c>
      <c r="L120" s="431">
        <v>12</v>
      </c>
      <c r="M120" s="475">
        <v>24600</v>
      </c>
      <c r="N120" s="473">
        <v>1</v>
      </c>
      <c r="O120" s="431">
        <v>2</v>
      </c>
      <c r="P120" s="475">
        <v>4000</v>
      </c>
    </row>
    <row r="121" spans="1:16" x14ac:dyDescent="0.2">
      <c r="A121" s="431" t="s">
        <v>539</v>
      </c>
      <c r="B121" s="473" t="s">
        <v>540</v>
      </c>
      <c r="C121" s="431" t="s">
        <v>541</v>
      </c>
      <c r="D121" s="474" t="s">
        <v>713</v>
      </c>
      <c r="E121" s="475">
        <v>1500</v>
      </c>
      <c r="F121" s="431" t="s">
        <v>870</v>
      </c>
      <c r="G121" s="476" t="s">
        <v>871</v>
      </c>
      <c r="H121" s="477" t="s">
        <v>550</v>
      </c>
      <c r="I121" s="477" t="s">
        <v>550</v>
      </c>
      <c r="J121" s="478" t="s">
        <v>550</v>
      </c>
      <c r="K121" s="473">
        <v>1</v>
      </c>
      <c r="L121" s="431">
        <v>12</v>
      </c>
      <c r="M121" s="475">
        <v>18600</v>
      </c>
      <c r="N121" s="473">
        <v>0</v>
      </c>
      <c r="O121" s="431">
        <v>0</v>
      </c>
      <c r="P121" s="475">
        <v>0</v>
      </c>
    </row>
    <row r="122" spans="1:16" ht="24" x14ac:dyDescent="0.2">
      <c r="A122" s="431" t="s">
        <v>539</v>
      </c>
      <c r="B122" s="473" t="s">
        <v>540</v>
      </c>
      <c r="C122" s="431" t="s">
        <v>541</v>
      </c>
      <c r="D122" s="474" t="s">
        <v>872</v>
      </c>
      <c r="E122" s="475">
        <v>1850</v>
      </c>
      <c r="F122" s="431" t="s">
        <v>873</v>
      </c>
      <c r="G122" s="476" t="s">
        <v>874</v>
      </c>
      <c r="H122" s="477" t="s">
        <v>561</v>
      </c>
      <c r="I122" s="477" t="s">
        <v>562</v>
      </c>
      <c r="J122" s="478" t="s">
        <v>561</v>
      </c>
      <c r="K122" s="473">
        <v>1</v>
      </c>
      <c r="L122" s="431">
        <v>2</v>
      </c>
      <c r="M122" s="475">
        <v>4293.33</v>
      </c>
      <c r="N122" s="473">
        <v>1</v>
      </c>
      <c r="O122" s="431">
        <v>6</v>
      </c>
      <c r="P122" s="475">
        <v>11100</v>
      </c>
    </row>
    <row r="123" spans="1:16" ht="24" x14ac:dyDescent="0.2">
      <c r="A123" s="431" t="s">
        <v>539</v>
      </c>
      <c r="B123" s="473" t="s">
        <v>540</v>
      </c>
      <c r="C123" s="431" t="s">
        <v>541</v>
      </c>
      <c r="D123" s="474" t="s">
        <v>545</v>
      </c>
      <c r="E123" s="475">
        <v>1800</v>
      </c>
      <c r="F123" s="431" t="s">
        <v>875</v>
      </c>
      <c r="G123" s="476" t="s">
        <v>876</v>
      </c>
      <c r="H123" s="477" t="s">
        <v>877</v>
      </c>
      <c r="I123" s="477" t="s">
        <v>657</v>
      </c>
      <c r="J123" s="478" t="s">
        <v>550</v>
      </c>
      <c r="K123" s="473">
        <v>1</v>
      </c>
      <c r="L123" s="431">
        <v>12</v>
      </c>
      <c r="M123" s="475">
        <v>22200</v>
      </c>
      <c r="N123" s="473">
        <v>1</v>
      </c>
      <c r="O123" s="431">
        <v>6</v>
      </c>
      <c r="P123" s="475">
        <v>10800</v>
      </c>
    </row>
    <row r="124" spans="1:16" ht="84" x14ac:dyDescent="0.2">
      <c r="A124" s="431" t="s">
        <v>539</v>
      </c>
      <c r="B124" s="473" t="s">
        <v>540</v>
      </c>
      <c r="C124" s="431" t="s">
        <v>541</v>
      </c>
      <c r="D124" s="474" t="s">
        <v>878</v>
      </c>
      <c r="E124" s="475">
        <v>3000</v>
      </c>
      <c r="F124" s="431" t="s">
        <v>879</v>
      </c>
      <c r="G124" s="476" t="s">
        <v>880</v>
      </c>
      <c r="H124" s="477" t="s">
        <v>550</v>
      </c>
      <c r="I124" s="477" t="s">
        <v>550</v>
      </c>
      <c r="J124" s="478" t="s">
        <v>550</v>
      </c>
      <c r="K124" s="473">
        <v>1</v>
      </c>
      <c r="L124" s="431">
        <v>12</v>
      </c>
      <c r="M124" s="475">
        <v>36600</v>
      </c>
      <c r="N124" s="473">
        <v>1</v>
      </c>
      <c r="O124" s="431">
        <v>6</v>
      </c>
      <c r="P124" s="475">
        <v>18000</v>
      </c>
    </row>
    <row r="125" spans="1:16" ht="24" x14ac:dyDescent="0.2">
      <c r="A125" s="431" t="s">
        <v>539</v>
      </c>
      <c r="B125" s="473" t="s">
        <v>540</v>
      </c>
      <c r="C125" s="431" t="s">
        <v>541</v>
      </c>
      <c r="D125" s="474" t="s">
        <v>881</v>
      </c>
      <c r="E125" s="475">
        <v>3800</v>
      </c>
      <c r="F125" s="431" t="s">
        <v>882</v>
      </c>
      <c r="G125" s="476" t="s">
        <v>883</v>
      </c>
      <c r="H125" s="477" t="s">
        <v>609</v>
      </c>
      <c r="I125" s="477" t="s">
        <v>546</v>
      </c>
      <c r="J125" s="478" t="s">
        <v>610</v>
      </c>
      <c r="K125" s="473">
        <v>1</v>
      </c>
      <c r="L125" s="431">
        <v>12</v>
      </c>
      <c r="M125" s="475">
        <v>46200</v>
      </c>
      <c r="N125" s="473">
        <v>1</v>
      </c>
      <c r="O125" s="431">
        <v>6</v>
      </c>
      <c r="P125" s="475">
        <v>22800</v>
      </c>
    </row>
    <row r="126" spans="1:16" ht="48" x14ac:dyDescent="0.2">
      <c r="A126" s="431" t="s">
        <v>539</v>
      </c>
      <c r="B126" s="473" t="s">
        <v>540</v>
      </c>
      <c r="C126" s="431" t="s">
        <v>541</v>
      </c>
      <c r="D126" s="474" t="s">
        <v>884</v>
      </c>
      <c r="E126" s="475">
        <v>6025</v>
      </c>
      <c r="F126" s="431" t="s">
        <v>885</v>
      </c>
      <c r="G126" s="476" t="s">
        <v>886</v>
      </c>
      <c r="H126" s="477" t="s">
        <v>650</v>
      </c>
      <c r="I126" s="477" t="s">
        <v>546</v>
      </c>
      <c r="J126" s="478" t="s">
        <v>887</v>
      </c>
      <c r="K126" s="473">
        <v>1</v>
      </c>
      <c r="L126" s="431">
        <v>1</v>
      </c>
      <c r="M126" s="475">
        <v>5623.33</v>
      </c>
      <c r="N126" s="473">
        <v>1</v>
      </c>
      <c r="O126" s="431">
        <v>6</v>
      </c>
      <c r="P126" s="475">
        <v>35949.17</v>
      </c>
    </row>
    <row r="127" spans="1:16" ht="72" x14ac:dyDescent="0.2">
      <c r="A127" s="431" t="s">
        <v>539</v>
      </c>
      <c r="B127" s="473" t="s">
        <v>540</v>
      </c>
      <c r="C127" s="431" t="s">
        <v>541</v>
      </c>
      <c r="D127" s="474" t="s">
        <v>888</v>
      </c>
      <c r="E127" s="475">
        <v>6000</v>
      </c>
      <c r="F127" s="431" t="s">
        <v>889</v>
      </c>
      <c r="G127" s="476" t="s">
        <v>890</v>
      </c>
      <c r="H127" s="477" t="s">
        <v>550</v>
      </c>
      <c r="I127" s="477" t="s">
        <v>550</v>
      </c>
      <c r="J127" s="477" t="s">
        <v>550</v>
      </c>
      <c r="K127" s="473">
        <v>0</v>
      </c>
      <c r="L127" s="431">
        <v>0</v>
      </c>
      <c r="M127" s="475">
        <v>0</v>
      </c>
      <c r="N127" s="473">
        <v>1</v>
      </c>
      <c r="O127" s="431">
        <v>5</v>
      </c>
      <c r="P127" s="475">
        <v>31600</v>
      </c>
    </row>
    <row r="128" spans="1:16" x14ac:dyDescent="0.2">
      <c r="A128" s="431" t="s">
        <v>539</v>
      </c>
      <c r="B128" s="473" t="s">
        <v>540</v>
      </c>
      <c r="C128" s="431" t="s">
        <v>541</v>
      </c>
      <c r="D128" s="474" t="s">
        <v>638</v>
      </c>
      <c r="E128" s="475">
        <v>2500</v>
      </c>
      <c r="F128" s="431" t="s">
        <v>891</v>
      </c>
      <c r="G128" s="476" t="s">
        <v>892</v>
      </c>
      <c r="H128" s="477" t="s">
        <v>638</v>
      </c>
      <c r="I128" s="477" t="s">
        <v>610</v>
      </c>
      <c r="J128" s="478" t="s">
        <v>610</v>
      </c>
      <c r="K128" s="473">
        <v>1</v>
      </c>
      <c r="L128" s="431">
        <v>12</v>
      </c>
      <c r="M128" s="475">
        <v>30600</v>
      </c>
      <c r="N128" s="473">
        <v>1</v>
      </c>
      <c r="O128" s="431">
        <v>6</v>
      </c>
      <c r="P128" s="475">
        <v>15000</v>
      </c>
    </row>
    <row r="129" spans="1:16" ht="24" x14ac:dyDescent="0.2">
      <c r="A129" s="431" t="s">
        <v>539</v>
      </c>
      <c r="B129" s="473" t="s">
        <v>540</v>
      </c>
      <c r="C129" s="431" t="s">
        <v>541</v>
      </c>
      <c r="D129" s="474" t="s">
        <v>893</v>
      </c>
      <c r="E129" s="475">
        <v>2500</v>
      </c>
      <c r="F129" s="431" t="s">
        <v>894</v>
      </c>
      <c r="G129" s="476" t="s">
        <v>895</v>
      </c>
      <c r="H129" s="477" t="s">
        <v>561</v>
      </c>
      <c r="I129" s="477" t="s">
        <v>562</v>
      </c>
      <c r="J129" s="478" t="s">
        <v>561</v>
      </c>
      <c r="K129" s="473">
        <v>0</v>
      </c>
      <c r="L129" s="431">
        <v>0</v>
      </c>
      <c r="M129" s="475">
        <v>0</v>
      </c>
      <c r="N129" s="473">
        <v>1</v>
      </c>
      <c r="O129" s="431">
        <v>5</v>
      </c>
      <c r="P129" s="475">
        <v>12166.67</v>
      </c>
    </row>
    <row r="130" spans="1:16" ht="36" x14ac:dyDescent="0.2">
      <c r="A130" s="431" t="s">
        <v>539</v>
      </c>
      <c r="B130" s="473" t="s">
        <v>540</v>
      </c>
      <c r="C130" s="431" t="s">
        <v>541</v>
      </c>
      <c r="D130" s="474" t="s">
        <v>643</v>
      </c>
      <c r="E130" s="475">
        <v>1250</v>
      </c>
      <c r="F130" s="431" t="s">
        <v>896</v>
      </c>
      <c r="G130" s="476" t="s">
        <v>897</v>
      </c>
      <c r="H130" s="477" t="s">
        <v>898</v>
      </c>
      <c r="I130" s="477" t="s">
        <v>546</v>
      </c>
      <c r="J130" s="478" t="s">
        <v>898</v>
      </c>
      <c r="K130" s="473">
        <v>1</v>
      </c>
      <c r="L130" s="431">
        <v>1</v>
      </c>
      <c r="M130" s="475">
        <v>1208.33</v>
      </c>
      <c r="N130" s="473">
        <v>1</v>
      </c>
      <c r="O130" s="431">
        <v>6</v>
      </c>
      <c r="P130" s="475">
        <v>7500</v>
      </c>
    </row>
    <row r="131" spans="1:16" ht="24" x14ac:dyDescent="0.2">
      <c r="A131" s="431" t="s">
        <v>539</v>
      </c>
      <c r="B131" s="473" t="s">
        <v>540</v>
      </c>
      <c r="C131" s="431" t="s">
        <v>541</v>
      </c>
      <c r="D131" s="474" t="s">
        <v>808</v>
      </c>
      <c r="E131" s="475">
        <v>6025</v>
      </c>
      <c r="F131" s="431" t="s">
        <v>899</v>
      </c>
      <c r="G131" s="476" t="s">
        <v>900</v>
      </c>
      <c r="H131" s="477" t="s">
        <v>609</v>
      </c>
      <c r="I131" s="477" t="s">
        <v>546</v>
      </c>
      <c r="J131" s="478" t="s">
        <v>609</v>
      </c>
      <c r="K131" s="473">
        <v>1</v>
      </c>
      <c r="L131" s="431">
        <v>1</v>
      </c>
      <c r="M131" s="475">
        <v>6426.67</v>
      </c>
      <c r="N131" s="473">
        <v>1</v>
      </c>
      <c r="O131" s="431">
        <v>6</v>
      </c>
      <c r="P131" s="475">
        <v>35145.83</v>
      </c>
    </row>
    <row r="132" spans="1:16" ht="36" x14ac:dyDescent="0.2">
      <c r="A132" s="431" t="s">
        <v>539</v>
      </c>
      <c r="B132" s="473" t="s">
        <v>540</v>
      </c>
      <c r="C132" s="431" t="s">
        <v>541</v>
      </c>
      <c r="D132" s="474" t="s">
        <v>901</v>
      </c>
      <c r="E132" s="475">
        <v>4000</v>
      </c>
      <c r="F132" s="431" t="s">
        <v>902</v>
      </c>
      <c r="G132" s="476" t="s">
        <v>903</v>
      </c>
      <c r="H132" s="477" t="s">
        <v>673</v>
      </c>
      <c r="I132" s="477" t="s">
        <v>610</v>
      </c>
      <c r="J132" s="478" t="s">
        <v>610</v>
      </c>
      <c r="K132" s="473">
        <v>1</v>
      </c>
      <c r="L132" s="431">
        <v>12</v>
      </c>
      <c r="M132" s="475">
        <v>48600</v>
      </c>
      <c r="N132" s="473">
        <v>0</v>
      </c>
      <c r="O132" s="431">
        <v>0</v>
      </c>
      <c r="P132" s="475">
        <v>0</v>
      </c>
    </row>
    <row r="133" spans="1:16" ht="24" x14ac:dyDescent="0.2">
      <c r="A133" s="431" t="s">
        <v>539</v>
      </c>
      <c r="B133" s="473" t="s">
        <v>540</v>
      </c>
      <c r="C133" s="431" t="s">
        <v>541</v>
      </c>
      <c r="D133" s="474" t="s">
        <v>904</v>
      </c>
      <c r="E133" s="475">
        <v>2000</v>
      </c>
      <c r="F133" s="431" t="s">
        <v>905</v>
      </c>
      <c r="G133" s="476" t="s">
        <v>906</v>
      </c>
      <c r="H133" s="477" t="s">
        <v>550</v>
      </c>
      <c r="I133" s="477" t="s">
        <v>550</v>
      </c>
      <c r="J133" s="478" t="s">
        <v>550</v>
      </c>
      <c r="K133" s="473">
        <v>1</v>
      </c>
      <c r="L133" s="431">
        <v>12</v>
      </c>
      <c r="M133" s="475">
        <v>20442</v>
      </c>
      <c r="N133" s="473">
        <v>1</v>
      </c>
      <c r="O133" s="431">
        <v>6</v>
      </c>
      <c r="P133" s="475">
        <v>12000</v>
      </c>
    </row>
    <row r="134" spans="1:16" ht="84" x14ac:dyDescent="0.2">
      <c r="A134" s="431" t="s">
        <v>539</v>
      </c>
      <c r="B134" s="473" t="s">
        <v>540</v>
      </c>
      <c r="C134" s="431" t="s">
        <v>541</v>
      </c>
      <c r="D134" s="474" t="s">
        <v>907</v>
      </c>
      <c r="E134" s="475">
        <v>6025</v>
      </c>
      <c r="F134" s="431" t="s">
        <v>908</v>
      </c>
      <c r="G134" s="476" t="s">
        <v>909</v>
      </c>
      <c r="H134" s="477" t="s">
        <v>910</v>
      </c>
      <c r="I134" s="477" t="s">
        <v>546</v>
      </c>
      <c r="J134" s="478" t="s">
        <v>910</v>
      </c>
      <c r="K134" s="473">
        <v>0</v>
      </c>
      <c r="L134" s="431">
        <v>0</v>
      </c>
      <c r="M134" s="475">
        <v>0</v>
      </c>
      <c r="N134" s="473">
        <v>1</v>
      </c>
      <c r="O134" s="431">
        <v>5</v>
      </c>
      <c r="P134" s="475">
        <v>29321.67</v>
      </c>
    </row>
    <row r="135" spans="1:16" ht="36" x14ac:dyDescent="0.2">
      <c r="A135" s="431" t="s">
        <v>539</v>
      </c>
      <c r="B135" s="473" t="s">
        <v>540</v>
      </c>
      <c r="C135" s="431" t="s">
        <v>541</v>
      </c>
      <c r="D135" s="474" t="s">
        <v>542</v>
      </c>
      <c r="E135" s="475">
        <v>3225</v>
      </c>
      <c r="F135" s="431" t="s">
        <v>911</v>
      </c>
      <c r="G135" s="476" t="s">
        <v>912</v>
      </c>
      <c r="H135" s="477" t="s">
        <v>898</v>
      </c>
      <c r="I135" s="477" t="s">
        <v>546</v>
      </c>
      <c r="J135" s="478" t="s">
        <v>898</v>
      </c>
      <c r="K135" s="473">
        <v>1</v>
      </c>
      <c r="L135" s="431">
        <v>1</v>
      </c>
      <c r="M135" s="475">
        <v>3117.5</v>
      </c>
      <c r="N135" s="473">
        <v>1</v>
      </c>
      <c r="O135" s="431">
        <v>6</v>
      </c>
      <c r="P135" s="475">
        <v>19350</v>
      </c>
    </row>
    <row r="136" spans="1:16" x14ac:dyDescent="0.2">
      <c r="A136" s="431" t="s">
        <v>539</v>
      </c>
      <c r="B136" s="473" t="s">
        <v>540</v>
      </c>
      <c r="C136" s="431" t="s">
        <v>541</v>
      </c>
      <c r="D136" s="474" t="s">
        <v>576</v>
      </c>
      <c r="E136" s="475">
        <v>1850</v>
      </c>
      <c r="F136" s="431" t="s">
        <v>913</v>
      </c>
      <c r="G136" s="476" t="s">
        <v>914</v>
      </c>
      <c r="H136" s="477" t="s">
        <v>915</v>
      </c>
      <c r="I136" s="477" t="s">
        <v>546</v>
      </c>
      <c r="J136" s="478" t="s">
        <v>915</v>
      </c>
      <c r="K136" s="473">
        <v>1</v>
      </c>
      <c r="L136" s="431">
        <v>12</v>
      </c>
      <c r="M136" s="475">
        <v>22800</v>
      </c>
      <c r="N136" s="473">
        <v>1</v>
      </c>
      <c r="O136" s="431">
        <v>6</v>
      </c>
      <c r="P136" s="475">
        <v>11100</v>
      </c>
    </row>
    <row r="137" spans="1:16" ht="36" x14ac:dyDescent="0.2">
      <c r="A137" s="431" t="s">
        <v>539</v>
      </c>
      <c r="B137" s="473" t="s">
        <v>540</v>
      </c>
      <c r="C137" s="431" t="s">
        <v>541</v>
      </c>
      <c r="D137" s="474" t="s">
        <v>916</v>
      </c>
      <c r="E137" s="475">
        <v>2000</v>
      </c>
      <c r="F137" s="431" t="s">
        <v>917</v>
      </c>
      <c r="G137" s="476" t="s">
        <v>918</v>
      </c>
      <c r="H137" s="477" t="s">
        <v>550</v>
      </c>
      <c r="I137" s="477" t="s">
        <v>550</v>
      </c>
      <c r="J137" s="478" t="s">
        <v>550</v>
      </c>
      <c r="K137" s="473">
        <v>1</v>
      </c>
      <c r="L137" s="431">
        <v>12</v>
      </c>
      <c r="M137" s="475">
        <v>24600</v>
      </c>
      <c r="N137" s="473">
        <v>1</v>
      </c>
      <c r="O137" s="431">
        <v>6</v>
      </c>
      <c r="P137" s="475">
        <v>12000</v>
      </c>
    </row>
    <row r="138" spans="1:16" ht="36" x14ac:dyDescent="0.2">
      <c r="A138" s="431" t="s">
        <v>539</v>
      </c>
      <c r="B138" s="473" t="s">
        <v>540</v>
      </c>
      <c r="C138" s="431" t="s">
        <v>541</v>
      </c>
      <c r="D138" s="474" t="s">
        <v>542</v>
      </c>
      <c r="E138" s="475">
        <v>1500</v>
      </c>
      <c r="F138" s="431" t="s">
        <v>919</v>
      </c>
      <c r="G138" s="476" t="s">
        <v>920</v>
      </c>
      <c r="H138" s="477" t="s">
        <v>898</v>
      </c>
      <c r="I138" s="477" t="s">
        <v>546</v>
      </c>
      <c r="J138" s="478" t="s">
        <v>898</v>
      </c>
      <c r="K138" s="473">
        <v>1</v>
      </c>
      <c r="L138" s="431">
        <v>12</v>
      </c>
      <c r="M138" s="475">
        <v>18600</v>
      </c>
      <c r="N138" s="473">
        <v>1</v>
      </c>
      <c r="O138" s="431">
        <v>6</v>
      </c>
      <c r="P138" s="475">
        <v>9000</v>
      </c>
    </row>
    <row r="139" spans="1:16" ht="24" x14ac:dyDescent="0.2">
      <c r="A139" s="431" t="s">
        <v>539</v>
      </c>
      <c r="B139" s="473" t="s">
        <v>540</v>
      </c>
      <c r="C139" s="431" t="s">
        <v>541</v>
      </c>
      <c r="D139" s="474" t="s">
        <v>921</v>
      </c>
      <c r="E139" s="475">
        <v>4000</v>
      </c>
      <c r="F139" s="431" t="s">
        <v>922</v>
      </c>
      <c r="G139" s="476" t="s">
        <v>923</v>
      </c>
      <c r="H139" s="477" t="s">
        <v>550</v>
      </c>
      <c r="I139" s="477" t="s">
        <v>550</v>
      </c>
      <c r="J139" s="477" t="s">
        <v>550</v>
      </c>
      <c r="K139" s="473">
        <v>1</v>
      </c>
      <c r="L139" s="431">
        <v>1</v>
      </c>
      <c r="M139" s="475">
        <v>4533.33</v>
      </c>
      <c r="N139" s="473">
        <v>0</v>
      </c>
      <c r="O139" s="431">
        <v>0</v>
      </c>
      <c r="P139" s="475">
        <v>0</v>
      </c>
    </row>
    <row r="140" spans="1:16" ht="24" x14ac:dyDescent="0.2">
      <c r="A140" s="431" t="s">
        <v>539</v>
      </c>
      <c r="B140" s="473" t="s">
        <v>540</v>
      </c>
      <c r="C140" s="431" t="s">
        <v>541</v>
      </c>
      <c r="D140" s="474" t="s">
        <v>924</v>
      </c>
      <c r="E140" s="475">
        <v>2000</v>
      </c>
      <c r="F140" s="431" t="s">
        <v>925</v>
      </c>
      <c r="G140" s="476" t="s">
        <v>926</v>
      </c>
      <c r="H140" s="477" t="s">
        <v>550</v>
      </c>
      <c r="I140" s="477" t="s">
        <v>550</v>
      </c>
      <c r="J140" s="478" t="s">
        <v>550</v>
      </c>
      <c r="K140" s="473">
        <v>1</v>
      </c>
      <c r="L140" s="431">
        <v>9</v>
      </c>
      <c r="M140" s="475">
        <v>18300</v>
      </c>
      <c r="N140" s="473">
        <v>0</v>
      </c>
      <c r="O140" s="431">
        <v>0</v>
      </c>
      <c r="P140" s="475">
        <v>0</v>
      </c>
    </row>
    <row r="141" spans="1:16" x14ac:dyDescent="0.2">
      <c r="A141" s="431" t="s">
        <v>539</v>
      </c>
      <c r="B141" s="473" t="s">
        <v>540</v>
      </c>
      <c r="C141" s="431" t="s">
        <v>541</v>
      </c>
      <c r="D141" s="474" t="s">
        <v>635</v>
      </c>
      <c r="E141" s="475">
        <v>4500</v>
      </c>
      <c r="F141" s="431" t="s">
        <v>927</v>
      </c>
      <c r="G141" s="476" t="s">
        <v>928</v>
      </c>
      <c r="H141" s="477" t="s">
        <v>638</v>
      </c>
      <c r="I141" s="477" t="s">
        <v>546</v>
      </c>
      <c r="J141" s="478" t="s">
        <v>610</v>
      </c>
      <c r="K141" s="473">
        <v>1</v>
      </c>
      <c r="L141" s="431">
        <v>12</v>
      </c>
      <c r="M141" s="475">
        <v>54600</v>
      </c>
      <c r="N141" s="473">
        <v>1</v>
      </c>
      <c r="O141" s="431">
        <v>6</v>
      </c>
      <c r="P141" s="475">
        <v>27000</v>
      </c>
    </row>
    <row r="142" spans="1:16" ht="24" x14ac:dyDescent="0.2">
      <c r="A142" s="431" t="s">
        <v>539</v>
      </c>
      <c r="B142" s="473" t="s">
        <v>540</v>
      </c>
      <c r="C142" s="431" t="s">
        <v>541</v>
      </c>
      <c r="D142" s="474" t="s">
        <v>929</v>
      </c>
      <c r="E142" s="475">
        <v>5000</v>
      </c>
      <c r="F142" s="431" t="s">
        <v>930</v>
      </c>
      <c r="G142" s="476" t="s">
        <v>931</v>
      </c>
      <c r="H142" s="477" t="s">
        <v>673</v>
      </c>
      <c r="I142" s="477" t="s">
        <v>610</v>
      </c>
      <c r="J142" s="478" t="s">
        <v>610</v>
      </c>
      <c r="K142" s="473">
        <v>1</v>
      </c>
      <c r="L142" s="431">
        <v>12</v>
      </c>
      <c r="M142" s="475">
        <v>60600</v>
      </c>
      <c r="N142" s="473">
        <v>1</v>
      </c>
      <c r="O142" s="431">
        <v>6</v>
      </c>
      <c r="P142" s="475">
        <v>30000</v>
      </c>
    </row>
    <row r="143" spans="1:16" ht="36" x14ac:dyDescent="0.2">
      <c r="A143" s="431" t="s">
        <v>539</v>
      </c>
      <c r="B143" s="473" t="s">
        <v>540</v>
      </c>
      <c r="C143" s="431" t="s">
        <v>541</v>
      </c>
      <c r="D143" s="474" t="s">
        <v>932</v>
      </c>
      <c r="E143" s="475">
        <v>2650</v>
      </c>
      <c r="F143" s="431" t="s">
        <v>933</v>
      </c>
      <c r="G143" s="476" t="s">
        <v>934</v>
      </c>
      <c r="H143" s="477" t="s">
        <v>898</v>
      </c>
      <c r="I143" s="477" t="s">
        <v>546</v>
      </c>
      <c r="J143" s="478" t="s">
        <v>898</v>
      </c>
      <c r="K143" s="473">
        <v>1</v>
      </c>
      <c r="L143" s="431">
        <v>1</v>
      </c>
      <c r="M143" s="475">
        <v>2826.67</v>
      </c>
      <c r="N143" s="473">
        <v>1</v>
      </c>
      <c r="O143" s="431">
        <v>6</v>
      </c>
      <c r="P143" s="475">
        <v>15900</v>
      </c>
    </row>
    <row r="144" spans="1:16" ht="24" x14ac:dyDescent="0.2">
      <c r="A144" s="431" t="s">
        <v>539</v>
      </c>
      <c r="B144" s="473" t="s">
        <v>540</v>
      </c>
      <c r="C144" s="431" t="s">
        <v>541</v>
      </c>
      <c r="D144" s="474" t="s">
        <v>619</v>
      </c>
      <c r="E144" s="475">
        <v>2300</v>
      </c>
      <c r="F144" s="431" t="s">
        <v>935</v>
      </c>
      <c r="G144" s="476" t="s">
        <v>936</v>
      </c>
      <c r="H144" s="477" t="s">
        <v>561</v>
      </c>
      <c r="I144" s="477" t="s">
        <v>562</v>
      </c>
      <c r="J144" s="478" t="s">
        <v>561</v>
      </c>
      <c r="K144" s="473">
        <v>1</v>
      </c>
      <c r="L144" s="431">
        <v>12</v>
      </c>
      <c r="M144" s="475">
        <v>28200</v>
      </c>
      <c r="N144" s="473">
        <v>1</v>
      </c>
      <c r="O144" s="431">
        <v>6</v>
      </c>
      <c r="P144" s="475">
        <v>13800</v>
      </c>
    </row>
    <row r="145" spans="1:16" x14ac:dyDescent="0.2">
      <c r="A145" s="431" t="s">
        <v>539</v>
      </c>
      <c r="B145" s="473" t="s">
        <v>540</v>
      </c>
      <c r="C145" s="431" t="s">
        <v>541</v>
      </c>
      <c r="D145" s="474" t="s">
        <v>609</v>
      </c>
      <c r="E145" s="475">
        <v>6025</v>
      </c>
      <c r="F145" s="431" t="s">
        <v>937</v>
      </c>
      <c r="G145" s="476" t="s">
        <v>938</v>
      </c>
      <c r="H145" s="477" t="s">
        <v>609</v>
      </c>
      <c r="I145" s="477" t="s">
        <v>546</v>
      </c>
      <c r="J145" s="478" t="s">
        <v>610</v>
      </c>
      <c r="K145" s="473">
        <v>1</v>
      </c>
      <c r="L145" s="431">
        <v>12</v>
      </c>
      <c r="M145" s="475">
        <v>67226.7</v>
      </c>
      <c r="N145" s="473">
        <v>1</v>
      </c>
      <c r="O145" s="431">
        <v>6</v>
      </c>
      <c r="P145" s="475">
        <v>36150</v>
      </c>
    </row>
    <row r="146" spans="1:16" ht="24" x14ac:dyDescent="0.2">
      <c r="A146" s="431" t="s">
        <v>539</v>
      </c>
      <c r="B146" s="473" t="s">
        <v>540</v>
      </c>
      <c r="C146" s="431" t="s">
        <v>541</v>
      </c>
      <c r="D146" s="474" t="s">
        <v>542</v>
      </c>
      <c r="E146" s="475">
        <v>2400</v>
      </c>
      <c r="F146" s="431" t="s">
        <v>939</v>
      </c>
      <c r="G146" s="476" t="s">
        <v>940</v>
      </c>
      <c r="H146" s="477" t="s">
        <v>550</v>
      </c>
      <c r="I146" s="477" t="s">
        <v>550</v>
      </c>
      <c r="J146" s="478" t="s">
        <v>550</v>
      </c>
      <c r="K146" s="473">
        <v>1</v>
      </c>
      <c r="L146" s="431">
        <v>12</v>
      </c>
      <c r="M146" s="475">
        <v>29400</v>
      </c>
      <c r="N146" s="473">
        <v>1</v>
      </c>
      <c r="O146" s="431">
        <v>6</v>
      </c>
      <c r="P146" s="475">
        <v>14400</v>
      </c>
    </row>
    <row r="147" spans="1:16" ht="24" x14ac:dyDescent="0.2">
      <c r="A147" s="431" t="s">
        <v>539</v>
      </c>
      <c r="B147" s="473" t="s">
        <v>540</v>
      </c>
      <c r="C147" s="431" t="s">
        <v>541</v>
      </c>
      <c r="D147" s="474" t="s">
        <v>941</v>
      </c>
      <c r="E147" s="475">
        <v>2250</v>
      </c>
      <c r="F147" s="431" t="s">
        <v>942</v>
      </c>
      <c r="G147" s="476" t="s">
        <v>943</v>
      </c>
      <c r="H147" s="477" t="s">
        <v>550</v>
      </c>
      <c r="I147" s="477" t="s">
        <v>550</v>
      </c>
      <c r="J147" s="478" t="s">
        <v>550</v>
      </c>
      <c r="K147" s="473">
        <v>1</v>
      </c>
      <c r="L147" s="431">
        <v>12</v>
      </c>
      <c r="M147" s="475">
        <v>27600</v>
      </c>
      <c r="N147" s="473">
        <v>1</v>
      </c>
      <c r="O147" s="431">
        <v>5</v>
      </c>
      <c r="P147" s="475">
        <v>11250</v>
      </c>
    </row>
    <row r="148" spans="1:16" ht="36" x14ac:dyDescent="0.2">
      <c r="A148" s="431" t="s">
        <v>539</v>
      </c>
      <c r="B148" s="473" t="s">
        <v>540</v>
      </c>
      <c r="C148" s="431" t="s">
        <v>541</v>
      </c>
      <c r="D148" s="474" t="s">
        <v>944</v>
      </c>
      <c r="E148" s="475">
        <v>5000</v>
      </c>
      <c r="F148" s="431" t="s">
        <v>945</v>
      </c>
      <c r="G148" s="476" t="s">
        <v>946</v>
      </c>
      <c r="H148" s="477" t="s">
        <v>573</v>
      </c>
      <c r="I148" s="477" t="s">
        <v>610</v>
      </c>
      <c r="J148" s="478" t="s">
        <v>610</v>
      </c>
      <c r="K148" s="473">
        <v>1</v>
      </c>
      <c r="L148" s="431">
        <v>12</v>
      </c>
      <c r="M148" s="475">
        <v>60600</v>
      </c>
      <c r="N148" s="473">
        <v>1</v>
      </c>
      <c r="O148" s="431">
        <v>6</v>
      </c>
      <c r="P148" s="475">
        <v>30000</v>
      </c>
    </row>
    <row r="149" spans="1:16" ht="24" x14ac:dyDescent="0.2">
      <c r="A149" s="431" t="s">
        <v>539</v>
      </c>
      <c r="B149" s="473" t="s">
        <v>540</v>
      </c>
      <c r="C149" s="431" t="s">
        <v>541</v>
      </c>
      <c r="D149" s="474" t="s">
        <v>947</v>
      </c>
      <c r="E149" s="475">
        <v>5500</v>
      </c>
      <c r="F149" s="431" t="s">
        <v>948</v>
      </c>
      <c r="G149" s="476" t="s">
        <v>949</v>
      </c>
      <c r="H149" s="477" t="s">
        <v>950</v>
      </c>
      <c r="I149" s="477" t="s">
        <v>546</v>
      </c>
      <c r="J149" s="478" t="s">
        <v>950</v>
      </c>
      <c r="K149" s="473">
        <v>0</v>
      </c>
      <c r="L149" s="431">
        <v>0</v>
      </c>
      <c r="M149" s="475">
        <v>0</v>
      </c>
      <c r="N149" s="473">
        <v>1</v>
      </c>
      <c r="O149" s="431">
        <v>5</v>
      </c>
      <c r="P149" s="475">
        <v>29150</v>
      </c>
    </row>
    <row r="150" spans="1:16" ht="72" x14ac:dyDescent="0.2">
      <c r="A150" s="431" t="s">
        <v>539</v>
      </c>
      <c r="B150" s="473" t="s">
        <v>540</v>
      </c>
      <c r="C150" s="431" t="s">
        <v>541</v>
      </c>
      <c r="D150" s="474" t="s">
        <v>951</v>
      </c>
      <c r="E150" s="475">
        <v>6000</v>
      </c>
      <c r="F150" s="431" t="s">
        <v>952</v>
      </c>
      <c r="G150" s="476" t="s">
        <v>953</v>
      </c>
      <c r="H150" s="477" t="s">
        <v>954</v>
      </c>
      <c r="I150" s="477" t="s">
        <v>955</v>
      </c>
      <c r="J150" s="478" t="s">
        <v>954</v>
      </c>
      <c r="K150" s="473">
        <v>0</v>
      </c>
      <c r="L150" s="431">
        <v>0</v>
      </c>
      <c r="M150" s="475">
        <v>0</v>
      </c>
      <c r="N150" s="473">
        <v>1</v>
      </c>
      <c r="O150" s="431">
        <v>5</v>
      </c>
      <c r="P150" s="475">
        <v>31600</v>
      </c>
    </row>
    <row r="151" spans="1:16" x14ac:dyDescent="0.2">
      <c r="A151" s="431" t="s">
        <v>539</v>
      </c>
      <c r="B151" s="473" t="s">
        <v>540</v>
      </c>
      <c r="C151" s="431" t="s">
        <v>541</v>
      </c>
      <c r="D151" s="474" t="s">
        <v>587</v>
      </c>
      <c r="E151" s="475">
        <v>1500</v>
      </c>
      <c r="F151" s="431" t="s">
        <v>956</v>
      </c>
      <c r="G151" s="476" t="s">
        <v>957</v>
      </c>
      <c r="H151" s="477" t="s">
        <v>624</v>
      </c>
      <c r="I151" s="477" t="s">
        <v>546</v>
      </c>
      <c r="J151" s="478" t="s">
        <v>624</v>
      </c>
      <c r="K151" s="473">
        <v>0</v>
      </c>
      <c r="L151" s="431">
        <v>0</v>
      </c>
      <c r="M151" s="475">
        <v>0</v>
      </c>
      <c r="N151" s="473">
        <v>1</v>
      </c>
      <c r="O151" s="431">
        <v>5</v>
      </c>
      <c r="P151" s="475">
        <v>7300</v>
      </c>
    </row>
    <row r="152" spans="1:16" ht="36" x14ac:dyDescent="0.2">
      <c r="A152" s="431" t="s">
        <v>539</v>
      </c>
      <c r="B152" s="473" t="s">
        <v>540</v>
      </c>
      <c r="C152" s="431" t="s">
        <v>541</v>
      </c>
      <c r="D152" s="474" t="s">
        <v>958</v>
      </c>
      <c r="E152" s="475">
        <v>6025</v>
      </c>
      <c r="F152" s="431" t="s">
        <v>959</v>
      </c>
      <c r="G152" s="476" t="s">
        <v>960</v>
      </c>
      <c r="H152" s="477" t="s">
        <v>961</v>
      </c>
      <c r="I152" s="477" t="s">
        <v>546</v>
      </c>
      <c r="J152" s="478" t="s">
        <v>962</v>
      </c>
      <c r="K152" s="473">
        <v>1</v>
      </c>
      <c r="L152" s="431">
        <v>1</v>
      </c>
      <c r="M152" s="475">
        <v>6426.67</v>
      </c>
      <c r="N152" s="473">
        <v>1</v>
      </c>
      <c r="O152" s="431">
        <v>6</v>
      </c>
      <c r="P152" s="475">
        <v>36150</v>
      </c>
    </row>
    <row r="153" spans="1:16" x14ac:dyDescent="0.2">
      <c r="A153" s="431" t="s">
        <v>539</v>
      </c>
      <c r="B153" s="473" t="s">
        <v>540</v>
      </c>
      <c r="C153" s="431" t="s">
        <v>541</v>
      </c>
      <c r="D153" s="474" t="s">
        <v>545</v>
      </c>
      <c r="E153" s="475">
        <v>1800</v>
      </c>
      <c r="F153" s="431" t="s">
        <v>963</v>
      </c>
      <c r="G153" s="476" t="s">
        <v>964</v>
      </c>
      <c r="H153" s="477" t="s">
        <v>550</v>
      </c>
      <c r="I153" s="477" t="s">
        <v>550</v>
      </c>
      <c r="J153" s="478" t="s">
        <v>550</v>
      </c>
      <c r="K153" s="473">
        <v>1</v>
      </c>
      <c r="L153" s="431">
        <v>1</v>
      </c>
      <c r="M153" s="475">
        <v>1920</v>
      </c>
      <c r="N153" s="473">
        <v>1</v>
      </c>
      <c r="O153" s="431">
        <v>6</v>
      </c>
      <c r="P153" s="475">
        <v>10800</v>
      </c>
    </row>
    <row r="154" spans="1:16" ht="24" x14ac:dyDescent="0.2">
      <c r="A154" s="431" t="s">
        <v>539</v>
      </c>
      <c r="B154" s="473" t="s">
        <v>540</v>
      </c>
      <c r="C154" s="431" t="s">
        <v>541</v>
      </c>
      <c r="D154" s="474" t="s">
        <v>965</v>
      </c>
      <c r="E154" s="475">
        <v>1500</v>
      </c>
      <c r="F154" s="431" t="s">
        <v>966</v>
      </c>
      <c r="G154" s="476" t="s">
        <v>967</v>
      </c>
      <c r="H154" s="477" t="s">
        <v>561</v>
      </c>
      <c r="I154" s="477" t="s">
        <v>562</v>
      </c>
      <c r="J154" s="478" t="s">
        <v>561</v>
      </c>
      <c r="K154" s="473">
        <v>1</v>
      </c>
      <c r="L154" s="431">
        <v>12</v>
      </c>
      <c r="M154" s="475">
        <v>18600</v>
      </c>
      <c r="N154" s="473">
        <v>1</v>
      </c>
      <c r="O154" s="431">
        <v>6</v>
      </c>
      <c r="P154" s="475">
        <v>9000</v>
      </c>
    </row>
    <row r="155" spans="1:16" ht="24" x14ac:dyDescent="0.2">
      <c r="A155" s="431" t="s">
        <v>539</v>
      </c>
      <c r="B155" s="473" t="s">
        <v>540</v>
      </c>
      <c r="C155" s="431" t="s">
        <v>541</v>
      </c>
      <c r="D155" s="474" t="s">
        <v>921</v>
      </c>
      <c r="E155" s="475">
        <v>4000</v>
      </c>
      <c r="F155" s="431" t="s">
        <v>968</v>
      </c>
      <c r="G155" s="476" t="s">
        <v>969</v>
      </c>
      <c r="H155" s="477" t="s">
        <v>921</v>
      </c>
      <c r="I155" s="477" t="s">
        <v>546</v>
      </c>
      <c r="J155" s="478" t="s">
        <v>921</v>
      </c>
      <c r="K155" s="473">
        <v>0</v>
      </c>
      <c r="L155" s="431">
        <v>0</v>
      </c>
      <c r="M155" s="475">
        <v>0</v>
      </c>
      <c r="N155" s="473">
        <v>1</v>
      </c>
      <c r="O155" s="431">
        <v>5</v>
      </c>
      <c r="P155" s="475">
        <v>19466.669999999998</v>
      </c>
    </row>
    <row r="156" spans="1:16" ht="24" x14ac:dyDescent="0.2">
      <c r="A156" s="431" t="s">
        <v>539</v>
      </c>
      <c r="B156" s="473" t="s">
        <v>540</v>
      </c>
      <c r="C156" s="431" t="s">
        <v>541</v>
      </c>
      <c r="D156" s="474" t="s">
        <v>872</v>
      </c>
      <c r="E156" s="475">
        <v>1850</v>
      </c>
      <c r="F156" s="431" t="s">
        <v>970</v>
      </c>
      <c r="G156" s="476" t="s">
        <v>971</v>
      </c>
      <c r="H156" s="477" t="s">
        <v>561</v>
      </c>
      <c r="I156" s="477" t="s">
        <v>562</v>
      </c>
      <c r="J156" s="478" t="s">
        <v>561</v>
      </c>
      <c r="K156" s="473">
        <v>1</v>
      </c>
      <c r="L156" s="431">
        <v>2</v>
      </c>
      <c r="M156" s="475">
        <v>4293.33</v>
      </c>
      <c r="N156" s="473">
        <v>1</v>
      </c>
      <c r="O156" s="431">
        <v>6</v>
      </c>
      <c r="P156" s="475">
        <v>11100</v>
      </c>
    </row>
    <row r="157" spans="1:16" ht="24" x14ac:dyDescent="0.2">
      <c r="A157" s="431" t="s">
        <v>539</v>
      </c>
      <c r="B157" s="473" t="s">
        <v>540</v>
      </c>
      <c r="C157" s="431" t="s">
        <v>541</v>
      </c>
      <c r="D157" s="474" t="s">
        <v>570</v>
      </c>
      <c r="E157" s="475">
        <v>1850</v>
      </c>
      <c r="F157" s="431" t="s">
        <v>972</v>
      </c>
      <c r="G157" s="476" t="s">
        <v>973</v>
      </c>
      <c r="H157" s="477" t="s">
        <v>974</v>
      </c>
      <c r="I157" s="477" t="s">
        <v>546</v>
      </c>
      <c r="J157" s="478" t="s">
        <v>974</v>
      </c>
      <c r="K157" s="473">
        <v>1</v>
      </c>
      <c r="L157" s="431">
        <v>2</v>
      </c>
      <c r="M157" s="475">
        <v>4293.33</v>
      </c>
      <c r="N157" s="473">
        <v>1</v>
      </c>
      <c r="O157" s="431">
        <v>6</v>
      </c>
      <c r="P157" s="475">
        <v>11100</v>
      </c>
    </row>
    <row r="158" spans="1:16" ht="36" x14ac:dyDescent="0.2">
      <c r="A158" s="431" t="s">
        <v>539</v>
      </c>
      <c r="B158" s="473" t="s">
        <v>540</v>
      </c>
      <c r="C158" s="431" t="s">
        <v>541</v>
      </c>
      <c r="D158" s="474" t="s">
        <v>975</v>
      </c>
      <c r="E158" s="475">
        <v>2000</v>
      </c>
      <c r="F158" s="431" t="s">
        <v>976</v>
      </c>
      <c r="G158" s="476" t="s">
        <v>977</v>
      </c>
      <c r="H158" s="477" t="s">
        <v>550</v>
      </c>
      <c r="I158" s="477" t="s">
        <v>550</v>
      </c>
      <c r="J158" s="478" t="s">
        <v>550</v>
      </c>
      <c r="K158" s="473">
        <v>1</v>
      </c>
      <c r="L158" s="431">
        <v>12</v>
      </c>
      <c r="M158" s="475">
        <v>24600</v>
      </c>
      <c r="N158" s="473">
        <v>1</v>
      </c>
      <c r="O158" s="431">
        <v>5</v>
      </c>
      <c r="P158" s="475">
        <v>10000</v>
      </c>
    </row>
    <row r="159" spans="1:16" ht="24" x14ac:dyDescent="0.2">
      <c r="A159" s="431" t="s">
        <v>539</v>
      </c>
      <c r="B159" s="473" t="s">
        <v>540</v>
      </c>
      <c r="C159" s="431" t="s">
        <v>541</v>
      </c>
      <c r="D159" s="474" t="s">
        <v>625</v>
      </c>
      <c r="E159" s="475">
        <v>3075</v>
      </c>
      <c r="F159" s="431" t="s">
        <v>978</v>
      </c>
      <c r="G159" s="476" t="s">
        <v>979</v>
      </c>
      <c r="H159" s="477" t="s">
        <v>974</v>
      </c>
      <c r="I159" s="477" t="s">
        <v>546</v>
      </c>
      <c r="J159" s="478" t="s">
        <v>974</v>
      </c>
      <c r="K159" s="473">
        <v>1</v>
      </c>
      <c r="L159" s="431">
        <v>12</v>
      </c>
      <c r="M159" s="475">
        <v>27472.5</v>
      </c>
      <c r="N159" s="473">
        <v>1</v>
      </c>
      <c r="O159" s="431">
        <v>6</v>
      </c>
      <c r="P159" s="475">
        <v>18450</v>
      </c>
    </row>
    <row r="160" spans="1:16" ht="48" x14ac:dyDescent="0.2">
      <c r="A160" s="431" t="s">
        <v>539</v>
      </c>
      <c r="B160" s="473" t="s">
        <v>596</v>
      </c>
      <c r="C160" s="431" t="s">
        <v>541</v>
      </c>
      <c r="D160" s="474" t="s">
        <v>980</v>
      </c>
      <c r="E160" s="475">
        <v>5550</v>
      </c>
      <c r="F160" s="431" t="s">
        <v>981</v>
      </c>
      <c r="G160" s="476" t="s">
        <v>982</v>
      </c>
      <c r="H160" s="477" t="s">
        <v>550</v>
      </c>
      <c r="I160" s="477" t="s">
        <v>550</v>
      </c>
      <c r="J160" s="477" t="s">
        <v>550</v>
      </c>
      <c r="K160" s="473">
        <v>1</v>
      </c>
      <c r="L160" s="431">
        <v>1</v>
      </c>
      <c r="M160" s="475">
        <v>3885</v>
      </c>
      <c r="N160" s="473">
        <v>1</v>
      </c>
      <c r="O160" s="431">
        <v>6</v>
      </c>
      <c r="P160" s="475">
        <v>32745</v>
      </c>
    </row>
    <row r="161" spans="1:16" ht="24" x14ac:dyDescent="0.2">
      <c r="A161" s="431" t="s">
        <v>539</v>
      </c>
      <c r="B161" s="473" t="s">
        <v>540</v>
      </c>
      <c r="C161" s="431" t="s">
        <v>541</v>
      </c>
      <c r="D161" s="474" t="s">
        <v>739</v>
      </c>
      <c r="E161" s="475">
        <v>2000</v>
      </c>
      <c r="F161" s="431" t="s">
        <v>983</v>
      </c>
      <c r="G161" s="476" t="s">
        <v>984</v>
      </c>
      <c r="H161" s="477" t="s">
        <v>609</v>
      </c>
      <c r="I161" s="477" t="s">
        <v>546</v>
      </c>
      <c r="J161" s="478" t="s">
        <v>609</v>
      </c>
      <c r="K161" s="473">
        <v>1</v>
      </c>
      <c r="L161" s="431">
        <v>1</v>
      </c>
      <c r="M161" s="475">
        <v>1933.33</v>
      </c>
      <c r="N161" s="473">
        <v>1</v>
      </c>
      <c r="O161" s="431">
        <v>6</v>
      </c>
      <c r="P161" s="475">
        <v>12000</v>
      </c>
    </row>
    <row r="162" spans="1:16" ht="24" x14ac:dyDescent="0.2">
      <c r="A162" s="431" t="s">
        <v>539</v>
      </c>
      <c r="B162" s="473" t="s">
        <v>540</v>
      </c>
      <c r="C162" s="431" t="s">
        <v>541</v>
      </c>
      <c r="D162" s="474" t="s">
        <v>576</v>
      </c>
      <c r="E162" s="475">
        <v>1850</v>
      </c>
      <c r="F162" s="431" t="s">
        <v>985</v>
      </c>
      <c r="G162" s="476" t="s">
        <v>986</v>
      </c>
      <c r="H162" s="477" t="s">
        <v>561</v>
      </c>
      <c r="I162" s="477" t="s">
        <v>562</v>
      </c>
      <c r="J162" s="478" t="s">
        <v>561</v>
      </c>
      <c r="K162" s="473">
        <v>1</v>
      </c>
      <c r="L162" s="431">
        <v>12</v>
      </c>
      <c r="M162" s="475">
        <v>22800</v>
      </c>
      <c r="N162" s="473">
        <v>1</v>
      </c>
      <c r="O162" s="431">
        <v>6</v>
      </c>
      <c r="P162" s="475">
        <v>11100</v>
      </c>
    </row>
    <row r="163" spans="1:16" ht="36" x14ac:dyDescent="0.2">
      <c r="A163" s="431" t="s">
        <v>539</v>
      </c>
      <c r="B163" s="473" t="s">
        <v>540</v>
      </c>
      <c r="C163" s="431" t="s">
        <v>541</v>
      </c>
      <c r="D163" s="474" t="s">
        <v>570</v>
      </c>
      <c r="E163" s="475">
        <v>1850</v>
      </c>
      <c r="F163" s="431" t="s">
        <v>987</v>
      </c>
      <c r="G163" s="476" t="s">
        <v>988</v>
      </c>
      <c r="H163" s="477" t="s">
        <v>989</v>
      </c>
      <c r="I163" s="477" t="s">
        <v>546</v>
      </c>
      <c r="J163" s="478" t="s">
        <v>989</v>
      </c>
      <c r="K163" s="473">
        <v>0</v>
      </c>
      <c r="L163" s="431">
        <v>0</v>
      </c>
      <c r="M163" s="475">
        <v>0</v>
      </c>
      <c r="N163" s="473">
        <v>1</v>
      </c>
      <c r="O163" s="431">
        <v>5</v>
      </c>
      <c r="P163" s="475">
        <v>8880</v>
      </c>
    </row>
    <row r="164" spans="1:16" ht="24" x14ac:dyDescent="0.2">
      <c r="A164" s="431" t="s">
        <v>539</v>
      </c>
      <c r="B164" s="473" t="s">
        <v>540</v>
      </c>
      <c r="C164" s="431" t="s">
        <v>541</v>
      </c>
      <c r="D164" s="474" t="s">
        <v>542</v>
      </c>
      <c r="E164" s="475">
        <v>3000</v>
      </c>
      <c r="F164" s="431" t="s">
        <v>990</v>
      </c>
      <c r="G164" s="476" t="s">
        <v>991</v>
      </c>
      <c r="H164" s="477" t="s">
        <v>550</v>
      </c>
      <c r="I164" s="477" t="s">
        <v>550</v>
      </c>
      <c r="J164" s="478" t="s">
        <v>550</v>
      </c>
      <c r="K164" s="473">
        <v>1</v>
      </c>
      <c r="L164" s="431">
        <v>12</v>
      </c>
      <c r="M164" s="475">
        <v>36600</v>
      </c>
      <c r="N164" s="473">
        <v>1</v>
      </c>
      <c r="O164" s="431">
        <v>6</v>
      </c>
      <c r="P164" s="475">
        <v>18000</v>
      </c>
    </row>
    <row r="165" spans="1:16" ht="36" x14ac:dyDescent="0.2">
      <c r="A165" s="431" t="s">
        <v>539</v>
      </c>
      <c r="B165" s="473" t="s">
        <v>540</v>
      </c>
      <c r="C165" s="431" t="s">
        <v>541</v>
      </c>
      <c r="D165" s="474" t="s">
        <v>992</v>
      </c>
      <c r="E165" s="475">
        <v>5025</v>
      </c>
      <c r="F165" s="431" t="s">
        <v>993</v>
      </c>
      <c r="G165" s="476" t="s">
        <v>994</v>
      </c>
      <c r="H165" s="477" t="s">
        <v>995</v>
      </c>
      <c r="I165" s="477" t="s">
        <v>546</v>
      </c>
      <c r="J165" s="478" t="s">
        <v>995</v>
      </c>
      <c r="K165" s="473">
        <v>0</v>
      </c>
      <c r="L165" s="431">
        <v>0</v>
      </c>
      <c r="M165" s="475">
        <v>0</v>
      </c>
      <c r="N165" s="473">
        <v>1</v>
      </c>
      <c r="O165" s="431">
        <v>5</v>
      </c>
      <c r="P165" s="475">
        <v>26632.5</v>
      </c>
    </row>
    <row r="166" spans="1:16" ht="24" x14ac:dyDescent="0.2">
      <c r="A166" s="431" t="s">
        <v>539</v>
      </c>
      <c r="B166" s="473" t="s">
        <v>540</v>
      </c>
      <c r="C166" s="431" t="s">
        <v>541</v>
      </c>
      <c r="D166" s="474" t="s">
        <v>542</v>
      </c>
      <c r="E166" s="475">
        <v>2200</v>
      </c>
      <c r="F166" s="431" t="s">
        <v>996</v>
      </c>
      <c r="G166" s="476" t="s">
        <v>997</v>
      </c>
      <c r="H166" s="477" t="s">
        <v>998</v>
      </c>
      <c r="I166" s="477" t="s">
        <v>657</v>
      </c>
      <c r="J166" s="478" t="s">
        <v>550</v>
      </c>
      <c r="K166" s="473">
        <v>1</v>
      </c>
      <c r="L166" s="431">
        <v>12</v>
      </c>
      <c r="M166" s="475">
        <v>23761.33</v>
      </c>
      <c r="N166" s="473">
        <v>1</v>
      </c>
      <c r="O166" s="431">
        <v>6</v>
      </c>
      <c r="P166" s="475">
        <v>11265</v>
      </c>
    </row>
    <row r="167" spans="1:16" ht="60" x14ac:dyDescent="0.2">
      <c r="A167" s="431" t="s">
        <v>539</v>
      </c>
      <c r="B167" s="473" t="s">
        <v>540</v>
      </c>
      <c r="C167" s="431" t="s">
        <v>541</v>
      </c>
      <c r="D167" s="474" t="s">
        <v>999</v>
      </c>
      <c r="E167" s="475">
        <v>3000</v>
      </c>
      <c r="F167" s="431" t="s">
        <v>1000</v>
      </c>
      <c r="G167" s="476" t="s">
        <v>1001</v>
      </c>
      <c r="H167" s="477" t="s">
        <v>550</v>
      </c>
      <c r="I167" s="477" t="s">
        <v>550</v>
      </c>
      <c r="J167" s="478" t="s">
        <v>550</v>
      </c>
      <c r="K167" s="473">
        <v>1</v>
      </c>
      <c r="L167" s="431">
        <v>12</v>
      </c>
      <c r="M167" s="475">
        <v>36600</v>
      </c>
      <c r="N167" s="473">
        <v>1</v>
      </c>
      <c r="O167" s="431">
        <v>6</v>
      </c>
      <c r="P167" s="475">
        <v>18000</v>
      </c>
    </row>
    <row r="168" spans="1:16" ht="48" x14ac:dyDescent="0.2">
      <c r="A168" s="431" t="s">
        <v>539</v>
      </c>
      <c r="B168" s="473" t="s">
        <v>540</v>
      </c>
      <c r="C168" s="431" t="s">
        <v>541</v>
      </c>
      <c r="D168" s="474" t="s">
        <v>1002</v>
      </c>
      <c r="E168" s="475">
        <v>3300</v>
      </c>
      <c r="F168" s="431" t="s">
        <v>1003</v>
      </c>
      <c r="G168" s="476" t="s">
        <v>1004</v>
      </c>
      <c r="H168" s="477" t="s">
        <v>1005</v>
      </c>
      <c r="I168" s="477" t="s">
        <v>546</v>
      </c>
      <c r="J168" s="478" t="s">
        <v>550</v>
      </c>
      <c r="K168" s="473">
        <v>1</v>
      </c>
      <c r="L168" s="431">
        <v>12</v>
      </c>
      <c r="M168" s="475">
        <v>40200</v>
      </c>
      <c r="N168" s="473">
        <v>1</v>
      </c>
      <c r="O168" s="431">
        <v>6</v>
      </c>
      <c r="P168" s="475">
        <v>19800</v>
      </c>
    </row>
    <row r="169" spans="1:16" ht="24" x14ac:dyDescent="0.2">
      <c r="A169" s="431" t="s">
        <v>539</v>
      </c>
      <c r="B169" s="473" t="s">
        <v>540</v>
      </c>
      <c r="C169" s="431" t="s">
        <v>541</v>
      </c>
      <c r="D169" s="474" t="s">
        <v>542</v>
      </c>
      <c r="E169" s="475">
        <v>1500</v>
      </c>
      <c r="F169" s="431" t="s">
        <v>1006</v>
      </c>
      <c r="G169" s="476" t="s">
        <v>1007</v>
      </c>
      <c r="H169" s="477" t="s">
        <v>561</v>
      </c>
      <c r="I169" s="477" t="s">
        <v>562</v>
      </c>
      <c r="J169" s="478" t="s">
        <v>561</v>
      </c>
      <c r="K169" s="473">
        <v>1</v>
      </c>
      <c r="L169" s="431">
        <v>12</v>
      </c>
      <c r="M169" s="475">
        <v>18600</v>
      </c>
      <c r="N169" s="473">
        <v>1</v>
      </c>
      <c r="O169" s="431">
        <v>6</v>
      </c>
      <c r="P169" s="475">
        <v>9000</v>
      </c>
    </row>
    <row r="170" spans="1:16" ht="36" x14ac:dyDescent="0.2">
      <c r="A170" s="431" t="s">
        <v>539</v>
      </c>
      <c r="B170" s="473" t="s">
        <v>540</v>
      </c>
      <c r="C170" s="431" t="s">
        <v>541</v>
      </c>
      <c r="D170" s="474" t="s">
        <v>1008</v>
      </c>
      <c r="E170" s="475">
        <v>2800</v>
      </c>
      <c r="F170" s="431" t="s">
        <v>1009</v>
      </c>
      <c r="G170" s="476" t="s">
        <v>1010</v>
      </c>
      <c r="H170" s="477" t="s">
        <v>738</v>
      </c>
      <c r="I170" s="477" t="s">
        <v>610</v>
      </c>
      <c r="J170" s="478" t="s">
        <v>610</v>
      </c>
      <c r="K170" s="473">
        <v>1</v>
      </c>
      <c r="L170" s="431">
        <v>12</v>
      </c>
      <c r="M170" s="475">
        <v>34200</v>
      </c>
      <c r="N170" s="473">
        <v>1</v>
      </c>
      <c r="O170" s="431">
        <v>6</v>
      </c>
      <c r="P170" s="475">
        <v>16800</v>
      </c>
    </row>
    <row r="171" spans="1:16" ht="24" x14ac:dyDescent="0.2">
      <c r="A171" s="431" t="s">
        <v>539</v>
      </c>
      <c r="B171" s="473" t="s">
        <v>540</v>
      </c>
      <c r="C171" s="431" t="s">
        <v>541</v>
      </c>
      <c r="D171" s="474" t="s">
        <v>542</v>
      </c>
      <c r="E171" s="475">
        <v>2500</v>
      </c>
      <c r="F171" s="431" t="s">
        <v>1011</v>
      </c>
      <c r="G171" s="476" t="s">
        <v>1012</v>
      </c>
      <c r="H171" s="477" t="s">
        <v>561</v>
      </c>
      <c r="I171" s="477" t="s">
        <v>562</v>
      </c>
      <c r="J171" s="478" t="s">
        <v>561</v>
      </c>
      <c r="K171" s="473">
        <v>1</v>
      </c>
      <c r="L171" s="431">
        <v>12</v>
      </c>
      <c r="M171" s="475">
        <v>30600</v>
      </c>
      <c r="N171" s="473">
        <v>1</v>
      </c>
      <c r="O171" s="431">
        <v>6</v>
      </c>
      <c r="P171" s="475">
        <v>15000</v>
      </c>
    </row>
    <row r="172" spans="1:16" x14ac:dyDescent="0.2">
      <c r="A172" s="431" t="s">
        <v>539</v>
      </c>
      <c r="B172" s="473" t="s">
        <v>540</v>
      </c>
      <c r="C172" s="431" t="s">
        <v>541</v>
      </c>
      <c r="D172" s="474" t="s">
        <v>587</v>
      </c>
      <c r="E172" s="475">
        <v>2300</v>
      </c>
      <c r="F172" s="431" t="s">
        <v>1013</v>
      </c>
      <c r="G172" s="476" t="s">
        <v>1014</v>
      </c>
      <c r="H172" s="477" t="s">
        <v>550</v>
      </c>
      <c r="I172" s="477" t="s">
        <v>550</v>
      </c>
      <c r="J172" s="478" t="s">
        <v>550</v>
      </c>
      <c r="K172" s="473">
        <v>0</v>
      </c>
      <c r="L172" s="431">
        <v>0</v>
      </c>
      <c r="M172" s="475">
        <v>0</v>
      </c>
      <c r="N172" s="473">
        <v>1</v>
      </c>
      <c r="O172" s="431">
        <v>5</v>
      </c>
      <c r="P172" s="475">
        <v>11193.33</v>
      </c>
    </row>
    <row r="173" spans="1:16" ht="24" x14ac:dyDescent="0.2">
      <c r="A173" s="431" t="s">
        <v>539</v>
      </c>
      <c r="B173" s="473" t="s">
        <v>540</v>
      </c>
      <c r="C173" s="431" t="s">
        <v>541</v>
      </c>
      <c r="D173" s="474" t="s">
        <v>625</v>
      </c>
      <c r="E173" s="475">
        <v>2200</v>
      </c>
      <c r="F173" s="431" t="s">
        <v>1015</v>
      </c>
      <c r="G173" s="476" t="s">
        <v>1016</v>
      </c>
      <c r="H173" s="477" t="s">
        <v>561</v>
      </c>
      <c r="I173" s="477" t="s">
        <v>562</v>
      </c>
      <c r="J173" s="478" t="s">
        <v>561</v>
      </c>
      <c r="K173" s="473">
        <v>1</v>
      </c>
      <c r="L173" s="431">
        <v>12</v>
      </c>
      <c r="M173" s="475">
        <v>27000</v>
      </c>
      <c r="N173" s="473">
        <v>1</v>
      </c>
      <c r="O173" s="431">
        <v>6</v>
      </c>
      <c r="P173" s="475">
        <v>13200</v>
      </c>
    </row>
    <row r="174" spans="1:16" ht="24" x14ac:dyDescent="0.2">
      <c r="A174" s="431" t="s">
        <v>539</v>
      </c>
      <c r="B174" s="473" t="s">
        <v>540</v>
      </c>
      <c r="C174" s="431" t="s">
        <v>541</v>
      </c>
      <c r="D174" s="474" t="s">
        <v>713</v>
      </c>
      <c r="E174" s="475">
        <v>1500</v>
      </c>
      <c r="F174" s="431" t="s">
        <v>1017</v>
      </c>
      <c r="G174" s="476" t="s">
        <v>1018</v>
      </c>
      <c r="H174" s="477" t="s">
        <v>561</v>
      </c>
      <c r="I174" s="477" t="s">
        <v>562</v>
      </c>
      <c r="J174" s="478" t="s">
        <v>561</v>
      </c>
      <c r="K174" s="473">
        <v>1</v>
      </c>
      <c r="L174" s="431">
        <v>12</v>
      </c>
      <c r="M174" s="475">
        <v>18600</v>
      </c>
      <c r="N174" s="473">
        <v>1</v>
      </c>
      <c r="O174" s="431">
        <v>6</v>
      </c>
      <c r="P174" s="475">
        <v>9000</v>
      </c>
    </row>
    <row r="175" spans="1:16" x14ac:dyDescent="0.2">
      <c r="A175" s="431" t="s">
        <v>539</v>
      </c>
      <c r="B175" s="473" t="s">
        <v>540</v>
      </c>
      <c r="C175" s="431" t="s">
        <v>541</v>
      </c>
      <c r="D175" s="474" t="s">
        <v>638</v>
      </c>
      <c r="E175" s="475">
        <v>5500</v>
      </c>
      <c r="F175" s="431" t="s">
        <v>1019</v>
      </c>
      <c r="G175" s="476" t="s">
        <v>1020</v>
      </c>
      <c r="H175" s="477" t="s">
        <v>550</v>
      </c>
      <c r="I175" s="477" t="s">
        <v>550</v>
      </c>
      <c r="J175" s="478" t="s">
        <v>550</v>
      </c>
      <c r="K175" s="473">
        <v>1</v>
      </c>
      <c r="L175" s="431">
        <v>3</v>
      </c>
      <c r="M175" s="475">
        <v>19450</v>
      </c>
      <c r="N175" s="473">
        <v>0</v>
      </c>
      <c r="O175" s="431">
        <v>0</v>
      </c>
      <c r="P175" s="475">
        <v>0</v>
      </c>
    </row>
    <row r="176" spans="1:16" ht="24" x14ac:dyDescent="0.2">
      <c r="A176" s="431" t="s">
        <v>539</v>
      </c>
      <c r="B176" s="473" t="s">
        <v>540</v>
      </c>
      <c r="C176" s="431" t="s">
        <v>541</v>
      </c>
      <c r="D176" s="474" t="s">
        <v>1021</v>
      </c>
      <c r="E176" s="475">
        <v>2500</v>
      </c>
      <c r="F176" s="431" t="s">
        <v>1022</v>
      </c>
      <c r="G176" s="476" t="s">
        <v>1023</v>
      </c>
      <c r="H176" s="477" t="s">
        <v>550</v>
      </c>
      <c r="I176" s="477" t="s">
        <v>550</v>
      </c>
      <c r="J176" s="478" t="s">
        <v>550</v>
      </c>
      <c r="K176" s="473">
        <v>1</v>
      </c>
      <c r="L176" s="431">
        <v>12</v>
      </c>
      <c r="M176" s="475">
        <v>30600</v>
      </c>
      <c r="N176" s="473">
        <v>1</v>
      </c>
      <c r="O176" s="431">
        <v>6</v>
      </c>
      <c r="P176" s="475">
        <v>15000</v>
      </c>
    </row>
    <row r="177" spans="1:16" ht="24" x14ac:dyDescent="0.2">
      <c r="A177" s="431" t="s">
        <v>539</v>
      </c>
      <c r="B177" s="473" t="s">
        <v>540</v>
      </c>
      <c r="C177" s="431" t="s">
        <v>541</v>
      </c>
      <c r="D177" s="474" t="s">
        <v>1024</v>
      </c>
      <c r="E177" s="475">
        <v>2500</v>
      </c>
      <c r="F177" s="431" t="s">
        <v>1025</v>
      </c>
      <c r="G177" s="476" t="s">
        <v>1026</v>
      </c>
      <c r="H177" s="477" t="s">
        <v>561</v>
      </c>
      <c r="I177" s="477" t="s">
        <v>562</v>
      </c>
      <c r="J177" s="478" t="s">
        <v>561</v>
      </c>
      <c r="K177" s="473">
        <v>1</v>
      </c>
      <c r="L177" s="431">
        <v>12</v>
      </c>
      <c r="M177" s="475">
        <v>30600</v>
      </c>
      <c r="N177" s="473">
        <v>1</v>
      </c>
      <c r="O177" s="431">
        <v>6</v>
      </c>
      <c r="P177" s="475">
        <v>15000</v>
      </c>
    </row>
    <row r="178" spans="1:16" ht="60" x14ac:dyDescent="0.2">
      <c r="A178" s="431" t="s">
        <v>539</v>
      </c>
      <c r="B178" s="473" t="s">
        <v>540</v>
      </c>
      <c r="C178" s="431" t="s">
        <v>541</v>
      </c>
      <c r="D178" s="474" t="s">
        <v>1027</v>
      </c>
      <c r="E178" s="475">
        <v>4550</v>
      </c>
      <c r="F178" s="431" t="s">
        <v>1028</v>
      </c>
      <c r="G178" s="476" t="s">
        <v>1029</v>
      </c>
      <c r="H178" s="477" t="s">
        <v>1030</v>
      </c>
      <c r="I178" s="477" t="s">
        <v>546</v>
      </c>
      <c r="J178" s="477" t="s">
        <v>1031</v>
      </c>
      <c r="K178" s="473">
        <v>1</v>
      </c>
      <c r="L178" s="431">
        <v>1</v>
      </c>
      <c r="M178" s="475">
        <v>4398.33</v>
      </c>
      <c r="N178" s="473">
        <v>1</v>
      </c>
      <c r="O178" s="431">
        <v>6</v>
      </c>
      <c r="P178" s="475">
        <v>27148.33</v>
      </c>
    </row>
    <row r="179" spans="1:16" ht="96" x14ac:dyDescent="0.2">
      <c r="A179" s="431" t="s">
        <v>539</v>
      </c>
      <c r="B179" s="473" t="s">
        <v>540</v>
      </c>
      <c r="C179" s="431" t="s">
        <v>541</v>
      </c>
      <c r="D179" s="474" t="s">
        <v>1032</v>
      </c>
      <c r="E179" s="475">
        <v>4550</v>
      </c>
      <c r="F179" s="431" t="s">
        <v>1033</v>
      </c>
      <c r="G179" s="476" t="s">
        <v>1034</v>
      </c>
      <c r="H179" s="477" t="s">
        <v>566</v>
      </c>
      <c r="I179" s="477" t="s">
        <v>546</v>
      </c>
      <c r="J179" s="478" t="s">
        <v>566</v>
      </c>
      <c r="K179" s="473">
        <v>1</v>
      </c>
      <c r="L179" s="431">
        <v>2</v>
      </c>
      <c r="M179" s="475">
        <v>10413.33</v>
      </c>
      <c r="N179" s="473">
        <v>1</v>
      </c>
      <c r="O179" s="431">
        <v>6</v>
      </c>
      <c r="P179" s="475">
        <v>27300</v>
      </c>
    </row>
    <row r="180" spans="1:16" ht="24" x14ac:dyDescent="0.2">
      <c r="A180" s="431" t="s">
        <v>539</v>
      </c>
      <c r="B180" s="473" t="s">
        <v>540</v>
      </c>
      <c r="C180" s="431" t="s">
        <v>541</v>
      </c>
      <c r="D180" s="474" t="s">
        <v>1035</v>
      </c>
      <c r="E180" s="475">
        <v>3000</v>
      </c>
      <c r="F180" s="431" t="s">
        <v>1036</v>
      </c>
      <c r="G180" s="476" t="s">
        <v>1037</v>
      </c>
      <c r="H180" s="477" t="s">
        <v>1038</v>
      </c>
      <c r="I180" s="477" t="s">
        <v>546</v>
      </c>
      <c r="J180" s="478" t="s">
        <v>1038</v>
      </c>
      <c r="K180" s="473">
        <v>1</v>
      </c>
      <c r="L180" s="431">
        <v>3</v>
      </c>
      <c r="M180" s="475">
        <v>10700</v>
      </c>
      <c r="N180" s="473">
        <v>1</v>
      </c>
      <c r="O180" s="431">
        <v>6</v>
      </c>
      <c r="P180" s="475">
        <v>18000</v>
      </c>
    </row>
    <row r="181" spans="1:16" ht="24" x14ac:dyDescent="0.2">
      <c r="A181" s="431" t="s">
        <v>539</v>
      </c>
      <c r="B181" s="473" t="s">
        <v>540</v>
      </c>
      <c r="C181" s="431" t="s">
        <v>541</v>
      </c>
      <c r="D181" s="474" t="s">
        <v>1039</v>
      </c>
      <c r="E181" s="475">
        <v>1200</v>
      </c>
      <c r="F181" s="431" t="s">
        <v>1040</v>
      </c>
      <c r="G181" s="476" t="s">
        <v>1041</v>
      </c>
      <c r="H181" s="477" t="s">
        <v>550</v>
      </c>
      <c r="I181" s="477" t="s">
        <v>550</v>
      </c>
      <c r="J181" s="478" t="s">
        <v>550</v>
      </c>
      <c r="K181" s="473">
        <v>1</v>
      </c>
      <c r="L181" s="431">
        <v>12</v>
      </c>
      <c r="M181" s="475">
        <v>15000</v>
      </c>
      <c r="N181" s="473">
        <v>1</v>
      </c>
      <c r="O181" s="431">
        <v>6</v>
      </c>
      <c r="P181" s="475">
        <v>7200</v>
      </c>
    </row>
    <row r="182" spans="1:16" x14ac:dyDescent="0.2">
      <c r="A182" s="431" t="s">
        <v>539</v>
      </c>
      <c r="B182" s="473" t="s">
        <v>540</v>
      </c>
      <c r="C182" s="431" t="s">
        <v>541</v>
      </c>
      <c r="D182" s="474" t="s">
        <v>1042</v>
      </c>
      <c r="E182" s="475">
        <v>2000</v>
      </c>
      <c r="F182" s="431" t="s">
        <v>1043</v>
      </c>
      <c r="G182" s="476" t="s">
        <v>1044</v>
      </c>
      <c r="H182" s="477" t="s">
        <v>545</v>
      </c>
      <c r="I182" s="477" t="s">
        <v>546</v>
      </c>
      <c r="J182" s="478" t="s">
        <v>545</v>
      </c>
      <c r="K182" s="473">
        <v>1</v>
      </c>
      <c r="L182" s="431">
        <v>2</v>
      </c>
      <c r="M182" s="475">
        <v>4633.33</v>
      </c>
      <c r="N182" s="473">
        <v>1</v>
      </c>
      <c r="O182" s="431">
        <v>6</v>
      </c>
      <c r="P182" s="475">
        <v>12000</v>
      </c>
    </row>
    <row r="183" spans="1:16" ht="24" x14ac:dyDescent="0.2">
      <c r="A183" s="431" t="s">
        <v>539</v>
      </c>
      <c r="B183" s="473" t="s">
        <v>540</v>
      </c>
      <c r="C183" s="431" t="s">
        <v>541</v>
      </c>
      <c r="D183" s="474" t="s">
        <v>576</v>
      </c>
      <c r="E183" s="475">
        <v>1850</v>
      </c>
      <c r="F183" s="431" t="s">
        <v>1045</v>
      </c>
      <c r="G183" s="476" t="s">
        <v>1046</v>
      </c>
      <c r="H183" s="477" t="s">
        <v>561</v>
      </c>
      <c r="I183" s="477" t="s">
        <v>562</v>
      </c>
      <c r="J183" s="478" t="s">
        <v>561</v>
      </c>
      <c r="K183" s="473">
        <v>1</v>
      </c>
      <c r="L183" s="431">
        <v>12</v>
      </c>
      <c r="M183" s="475">
        <v>22800</v>
      </c>
      <c r="N183" s="473">
        <v>1</v>
      </c>
      <c r="O183" s="431">
        <v>6</v>
      </c>
      <c r="P183" s="475">
        <v>11100</v>
      </c>
    </row>
    <row r="184" spans="1:16" ht="24" x14ac:dyDescent="0.2">
      <c r="A184" s="431" t="s">
        <v>539</v>
      </c>
      <c r="B184" s="473" t="s">
        <v>540</v>
      </c>
      <c r="C184" s="431" t="s">
        <v>541</v>
      </c>
      <c r="D184" s="474" t="s">
        <v>542</v>
      </c>
      <c r="E184" s="475">
        <v>3075</v>
      </c>
      <c r="F184" s="431" t="s">
        <v>1047</v>
      </c>
      <c r="G184" s="476" t="s">
        <v>1048</v>
      </c>
      <c r="H184" s="477" t="s">
        <v>550</v>
      </c>
      <c r="I184" s="477" t="s">
        <v>550</v>
      </c>
      <c r="J184" s="478" t="s">
        <v>550</v>
      </c>
      <c r="K184" s="473">
        <v>0</v>
      </c>
      <c r="L184" s="431">
        <v>0</v>
      </c>
      <c r="M184" s="475">
        <v>0</v>
      </c>
      <c r="N184" s="473">
        <v>1</v>
      </c>
      <c r="O184" s="431">
        <v>4</v>
      </c>
      <c r="P184" s="475">
        <v>11890</v>
      </c>
    </row>
    <row r="185" spans="1:16" ht="24" x14ac:dyDescent="0.2">
      <c r="A185" s="431" t="s">
        <v>539</v>
      </c>
      <c r="B185" s="473" t="s">
        <v>540</v>
      </c>
      <c r="C185" s="431" t="s">
        <v>541</v>
      </c>
      <c r="D185" s="474" t="s">
        <v>1049</v>
      </c>
      <c r="E185" s="475">
        <v>2500</v>
      </c>
      <c r="F185" s="431" t="s">
        <v>1050</v>
      </c>
      <c r="G185" s="476" t="s">
        <v>1051</v>
      </c>
      <c r="H185" s="477" t="s">
        <v>561</v>
      </c>
      <c r="I185" s="477" t="s">
        <v>562</v>
      </c>
      <c r="J185" s="478" t="s">
        <v>561</v>
      </c>
      <c r="K185" s="473">
        <v>1</v>
      </c>
      <c r="L185" s="431">
        <v>12</v>
      </c>
      <c r="M185" s="475">
        <v>30600</v>
      </c>
      <c r="N185" s="473">
        <v>1</v>
      </c>
      <c r="O185" s="431">
        <v>6</v>
      </c>
      <c r="P185" s="475">
        <v>15000</v>
      </c>
    </row>
    <row r="186" spans="1:16" x14ac:dyDescent="0.2">
      <c r="A186" s="431" t="s">
        <v>539</v>
      </c>
      <c r="B186" s="473" t="s">
        <v>540</v>
      </c>
      <c r="C186" s="431" t="s">
        <v>541</v>
      </c>
      <c r="D186" s="474" t="s">
        <v>609</v>
      </c>
      <c r="E186" s="475">
        <v>6000</v>
      </c>
      <c r="F186" s="431" t="s">
        <v>1052</v>
      </c>
      <c r="G186" s="476" t="s">
        <v>1053</v>
      </c>
      <c r="H186" s="477" t="s">
        <v>609</v>
      </c>
      <c r="I186" s="477" t="s">
        <v>546</v>
      </c>
      <c r="J186" s="478" t="s">
        <v>609</v>
      </c>
      <c r="K186" s="473">
        <v>1</v>
      </c>
      <c r="L186" s="431">
        <v>2</v>
      </c>
      <c r="M186" s="475">
        <v>13700</v>
      </c>
      <c r="N186" s="473">
        <v>1</v>
      </c>
      <c r="O186" s="431">
        <v>6</v>
      </c>
      <c r="P186" s="475">
        <v>36000</v>
      </c>
    </row>
    <row r="187" spans="1:16" ht="24" x14ac:dyDescent="0.2">
      <c r="A187" s="431" t="s">
        <v>539</v>
      </c>
      <c r="B187" s="473" t="s">
        <v>540</v>
      </c>
      <c r="C187" s="431" t="s">
        <v>541</v>
      </c>
      <c r="D187" s="474" t="s">
        <v>1054</v>
      </c>
      <c r="E187" s="475">
        <v>2250</v>
      </c>
      <c r="F187" s="431" t="s">
        <v>1055</v>
      </c>
      <c r="G187" s="476" t="s">
        <v>1056</v>
      </c>
      <c r="H187" s="477" t="s">
        <v>550</v>
      </c>
      <c r="I187" s="477" t="s">
        <v>550</v>
      </c>
      <c r="J187" s="478" t="s">
        <v>550</v>
      </c>
      <c r="K187" s="473">
        <v>1</v>
      </c>
      <c r="L187" s="431">
        <v>12</v>
      </c>
      <c r="M187" s="475">
        <v>27600</v>
      </c>
      <c r="N187" s="473">
        <v>1</v>
      </c>
      <c r="O187" s="431">
        <v>5</v>
      </c>
      <c r="P187" s="475">
        <v>11250</v>
      </c>
    </row>
    <row r="188" spans="1:16" x14ac:dyDescent="0.2">
      <c r="A188" s="431" t="s">
        <v>539</v>
      </c>
      <c r="B188" s="473" t="s">
        <v>540</v>
      </c>
      <c r="C188" s="431" t="s">
        <v>541</v>
      </c>
      <c r="D188" s="474" t="s">
        <v>635</v>
      </c>
      <c r="E188" s="475">
        <v>5500</v>
      </c>
      <c r="F188" s="431" t="s">
        <v>1057</v>
      </c>
      <c r="G188" s="476" t="s">
        <v>1058</v>
      </c>
      <c r="H188" s="477" t="s">
        <v>673</v>
      </c>
      <c r="I188" s="477" t="s">
        <v>610</v>
      </c>
      <c r="J188" s="478" t="s">
        <v>610</v>
      </c>
      <c r="K188" s="473">
        <v>1</v>
      </c>
      <c r="L188" s="431">
        <v>12</v>
      </c>
      <c r="M188" s="475">
        <v>66600</v>
      </c>
      <c r="N188" s="473">
        <v>1</v>
      </c>
      <c r="O188" s="431">
        <v>6</v>
      </c>
      <c r="P188" s="475">
        <v>33000</v>
      </c>
    </row>
    <row r="189" spans="1:16" ht="36" x14ac:dyDescent="0.2">
      <c r="A189" s="431" t="s">
        <v>539</v>
      </c>
      <c r="B189" s="473" t="s">
        <v>540</v>
      </c>
      <c r="C189" s="431" t="s">
        <v>541</v>
      </c>
      <c r="D189" s="474" t="s">
        <v>1059</v>
      </c>
      <c r="E189" s="475">
        <v>3300</v>
      </c>
      <c r="F189" s="431" t="s">
        <v>1060</v>
      </c>
      <c r="G189" s="476" t="s">
        <v>1061</v>
      </c>
      <c r="H189" s="477" t="s">
        <v>573</v>
      </c>
      <c r="I189" s="478" t="s">
        <v>555</v>
      </c>
      <c r="J189" s="478" t="s">
        <v>573</v>
      </c>
      <c r="K189" s="473">
        <v>1</v>
      </c>
      <c r="L189" s="431">
        <v>12</v>
      </c>
      <c r="M189" s="475">
        <v>40200</v>
      </c>
      <c r="N189" s="473">
        <v>1</v>
      </c>
      <c r="O189" s="431">
        <v>6</v>
      </c>
      <c r="P189" s="475">
        <v>19800</v>
      </c>
    </row>
    <row r="190" spans="1:16" ht="60" x14ac:dyDescent="0.2">
      <c r="A190" s="431" t="s">
        <v>539</v>
      </c>
      <c r="B190" s="473" t="s">
        <v>540</v>
      </c>
      <c r="C190" s="431" t="s">
        <v>541</v>
      </c>
      <c r="D190" s="474" t="s">
        <v>1062</v>
      </c>
      <c r="E190" s="475">
        <v>2000</v>
      </c>
      <c r="F190" s="431" t="s">
        <v>1063</v>
      </c>
      <c r="G190" s="476" t="s">
        <v>1064</v>
      </c>
      <c r="H190" s="477" t="s">
        <v>561</v>
      </c>
      <c r="I190" s="477" t="s">
        <v>562</v>
      </c>
      <c r="J190" s="478" t="s">
        <v>561</v>
      </c>
      <c r="K190" s="473">
        <v>1</v>
      </c>
      <c r="L190" s="431">
        <v>12</v>
      </c>
      <c r="M190" s="475">
        <v>24600</v>
      </c>
      <c r="N190" s="473">
        <v>1</v>
      </c>
      <c r="O190" s="431">
        <v>6</v>
      </c>
      <c r="P190" s="475">
        <v>12000</v>
      </c>
    </row>
    <row r="191" spans="1:16" x14ac:dyDescent="0.2">
      <c r="A191" s="431" t="s">
        <v>539</v>
      </c>
      <c r="B191" s="473" t="s">
        <v>540</v>
      </c>
      <c r="C191" s="431" t="s">
        <v>541</v>
      </c>
      <c r="D191" s="474" t="s">
        <v>1065</v>
      </c>
      <c r="E191" s="475">
        <v>5000</v>
      </c>
      <c r="F191" s="431" t="s">
        <v>1066</v>
      </c>
      <c r="G191" s="476" t="s">
        <v>1067</v>
      </c>
      <c r="H191" s="477" t="s">
        <v>573</v>
      </c>
      <c r="I191" s="477" t="s">
        <v>610</v>
      </c>
      <c r="J191" s="478" t="s">
        <v>610</v>
      </c>
      <c r="K191" s="473">
        <v>1</v>
      </c>
      <c r="L191" s="431">
        <v>12</v>
      </c>
      <c r="M191" s="475">
        <v>60600</v>
      </c>
      <c r="N191" s="473">
        <v>1</v>
      </c>
      <c r="O191" s="431">
        <v>6</v>
      </c>
      <c r="P191" s="475">
        <v>30000</v>
      </c>
    </row>
    <row r="192" spans="1:16" x14ac:dyDescent="0.2">
      <c r="A192" s="431" t="s">
        <v>539</v>
      </c>
      <c r="B192" s="473" t="s">
        <v>540</v>
      </c>
      <c r="C192" s="431" t="s">
        <v>541</v>
      </c>
      <c r="D192" s="474" t="s">
        <v>609</v>
      </c>
      <c r="E192" s="475">
        <v>5500</v>
      </c>
      <c r="F192" s="431" t="s">
        <v>1068</v>
      </c>
      <c r="G192" s="476" t="s">
        <v>1069</v>
      </c>
      <c r="H192" s="477" t="s">
        <v>609</v>
      </c>
      <c r="I192" s="477" t="s">
        <v>610</v>
      </c>
      <c r="J192" s="478" t="s">
        <v>610</v>
      </c>
      <c r="K192" s="473">
        <v>1</v>
      </c>
      <c r="L192" s="431">
        <v>12</v>
      </c>
      <c r="M192" s="475">
        <v>66668.75</v>
      </c>
      <c r="N192" s="473">
        <v>0</v>
      </c>
      <c r="O192" s="431">
        <v>0</v>
      </c>
      <c r="P192" s="475">
        <v>0</v>
      </c>
    </row>
    <row r="193" spans="1:16" ht="24" x14ac:dyDescent="0.2">
      <c r="A193" s="431" t="s">
        <v>539</v>
      </c>
      <c r="B193" s="473" t="s">
        <v>540</v>
      </c>
      <c r="C193" s="431" t="s">
        <v>541</v>
      </c>
      <c r="D193" s="474" t="s">
        <v>1070</v>
      </c>
      <c r="E193" s="475"/>
      <c r="F193" s="431" t="s">
        <v>1071</v>
      </c>
      <c r="G193" s="476" t="s">
        <v>1072</v>
      </c>
      <c r="H193" s="477" t="s">
        <v>609</v>
      </c>
      <c r="I193" s="477" t="s">
        <v>610</v>
      </c>
      <c r="J193" s="478" t="s">
        <v>610</v>
      </c>
      <c r="K193" s="473">
        <v>1</v>
      </c>
      <c r="L193" s="431">
        <v>8</v>
      </c>
      <c r="M193" s="475">
        <v>40300</v>
      </c>
      <c r="N193" s="473">
        <v>0</v>
      </c>
      <c r="O193" s="431">
        <v>0</v>
      </c>
      <c r="P193" s="475">
        <v>0</v>
      </c>
    </row>
    <row r="194" spans="1:16" x14ac:dyDescent="0.2">
      <c r="A194" s="431" t="s">
        <v>539</v>
      </c>
      <c r="B194" s="473" t="s">
        <v>540</v>
      </c>
      <c r="C194" s="431" t="s">
        <v>541</v>
      </c>
      <c r="D194" s="474" t="s">
        <v>561</v>
      </c>
      <c r="E194" s="475"/>
      <c r="F194" s="431" t="s">
        <v>1073</v>
      </c>
      <c r="G194" s="476" t="s">
        <v>1074</v>
      </c>
      <c r="H194" s="477" t="s">
        <v>550</v>
      </c>
      <c r="I194" s="477" t="s">
        <v>550</v>
      </c>
      <c r="J194" s="478" t="s">
        <v>550</v>
      </c>
      <c r="K194" s="473">
        <v>1</v>
      </c>
      <c r="L194" s="431">
        <v>1</v>
      </c>
      <c r="M194" s="475">
        <v>5500</v>
      </c>
      <c r="N194" s="473">
        <v>0</v>
      </c>
      <c r="O194" s="431">
        <v>0</v>
      </c>
      <c r="P194" s="475">
        <v>0</v>
      </c>
    </row>
    <row r="195" spans="1:16" ht="24" x14ac:dyDescent="0.2">
      <c r="A195" s="431" t="s">
        <v>539</v>
      </c>
      <c r="B195" s="473" t="s">
        <v>540</v>
      </c>
      <c r="C195" s="431" t="s">
        <v>541</v>
      </c>
      <c r="D195" s="474" t="s">
        <v>1075</v>
      </c>
      <c r="E195" s="475"/>
      <c r="F195" s="431" t="s">
        <v>1076</v>
      </c>
      <c r="G195" s="476" t="s">
        <v>1077</v>
      </c>
      <c r="H195" s="477" t="s">
        <v>650</v>
      </c>
      <c r="I195" s="477" t="s">
        <v>610</v>
      </c>
      <c r="J195" s="478" t="s">
        <v>610</v>
      </c>
      <c r="K195" s="473">
        <v>1</v>
      </c>
      <c r="L195" s="431">
        <v>3</v>
      </c>
      <c r="M195" s="475">
        <v>4500</v>
      </c>
      <c r="N195" s="473">
        <v>0</v>
      </c>
      <c r="O195" s="431">
        <v>0</v>
      </c>
      <c r="P195" s="475">
        <v>0</v>
      </c>
    </row>
    <row r="196" spans="1:16" ht="24" x14ac:dyDescent="0.2">
      <c r="A196" s="431" t="s">
        <v>539</v>
      </c>
      <c r="B196" s="473" t="s">
        <v>540</v>
      </c>
      <c r="C196" s="431" t="s">
        <v>541</v>
      </c>
      <c r="D196" s="474" t="s">
        <v>542</v>
      </c>
      <c r="E196" s="475"/>
      <c r="F196" s="431" t="s">
        <v>1078</v>
      </c>
      <c r="G196" s="476" t="s">
        <v>1079</v>
      </c>
      <c r="H196" s="477" t="s">
        <v>550</v>
      </c>
      <c r="I196" s="477" t="s">
        <v>550</v>
      </c>
      <c r="J196" s="478" t="s">
        <v>550</v>
      </c>
      <c r="K196" s="473">
        <v>1</v>
      </c>
      <c r="L196" s="431">
        <v>3</v>
      </c>
      <c r="M196" s="475">
        <v>8100</v>
      </c>
      <c r="N196" s="473">
        <v>0</v>
      </c>
      <c r="O196" s="431">
        <v>0</v>
      </c>
      <c r="P196" s="475">
        <v>0</v>
      </c>
    </row>
    <row r="197" spans="1:16" ht="24" x14ac:dyDescent="0.2">
      <c r="A197" s="431" t="s">
        <v>539</v>
      </c>
      <c r="B197" s="473" t="s">
        <v>540</v>
      </c>
      <c r="C197" s="431" t="s">
        <v>541</v>
      </c>
      <c r="D197" s="474" t="s">
        <v>1080</v>
      </c>
      <c r="E197" s="475"/>
      <c r="F197" s="431" t="s">
        <v>1081</v>
      </c>
      <c r="G197" s="476" t="s">
        <v>1082</v>
      </c>
      <c r="H197" s="477" t="s">
        <v>550</v>
      </c>
      <c r="I197" s="477" t="s">
        <v>550</v>
      </c>
      <c r="J197" s="478" t="s">
        <v>550</v>
      </c>
      <c r="K197" s="473">
        <v>1</v>
      </c>
      <c r="L197" s="431">
        <v>3</v>
      </c>
      <c r="M197" s="475">
        <v>6900</v>
      </c>
      <c r="N197" s="473">
        <v>0</v>
      </c>
      <c r="O197" s="431">
        <v>0</v>
      </c>
      <c r="P197" s="475">
        <v>0</v>
      </c>
    </row>
    <row r="198" spans="1:16" ht="24" x14ac:dyDescent="0.2">
      <c r="A198" s="431" t="s">
        <v>539</v>
      </c>
      <c r="B198" s="473" t="s">
        <v>540</v>
      </c>
      <c r="C198" s="431" t="s">
        <v>541</v>
      </c>
      <c r="D198" s="474" t="s">
        <v>1083</v>
      </c>
      <c r="E198" s="475"/>
      <c r="F198" s="431" t="s">
        <v>1084</v>
      </c>
      <c r="G198" s="476" t="s">
        <v>1085</v>
      </c>
      <c r="H198" s="477" t="s">
        <v>550</v>
      </c>
      <c r="I198" s="477" t="s">
        <v>550</v>
      </c>
      <c r="J198" s="478" t="s">
        <v>550</v>
      </c>
      <c r="K198" s="473">
        <v>1</v>
      </c>
      <c r="L198" s="431">
        <v>2</v>
      </c>
      <c r="M198" s="475">
        <v>3600</v>
      </c>
      <c r="N198" s="473">
        <v>0</v>
      </c>
      <c r="O198" s="431">
        <v>0</v>
      </c>
      <c r="P198" s="475">
        <v>0</v>
      </c>
    </row>
    <row r="199" spans="1:16" ht="24" x14ac:dyDescent="0.2">
      <c r="A199" s="431" t="s">
        <v>539</v>
      </c>
      <c r="B199" s="473" t="s">
        <v>540</v>
      </c>
      <c r="C199" s="431" t="s">
        <v>541</v>
      </c>
      <c r="D199" s="474" t="s">
        <v>542</v>
      </c>
      <c r="E199" s="475"/>
      <c r="F199" s="431" t="s">
        <v>1086</v>
      </c>
      <c r="G199" s="476" t="s">
        <v>1087</v>
      </c>
      <c r="H199" s="477" t="s">
        <v>550</v>
      </c>
      <c r="I199" s="477" t="s">
        <v>550</v>
      </c>
      <c r="J199" s="478" t="s">
        <v>550</v>
      </c>
      <c r="K199" s="473">
        <v>1</v>
      </c>
      <c r="L199" s="431">
        <v>3</v>
      </c>
      <c r="M199" s="475">
        <v>6000</v>
      </c>
      <c r="N199" s="473">
        <v>0</v>
      </c>
      <c r="O199" s="431">
        <v>0</v>
      </c>
      <c r="P199" s="475">
        <v>0</v>
      </c>
    </row>
    <row r="200" spans="1:16" ht="48" x14ac:dyDescent="0.2">
      <c r="A200" s="431" t="s">
        <v>539</v>
      </c>
      <c r="B200" s="473" t="s">
        <v>540</v>
      </c>
      <c r="C200" s="431" t="s">
        <v>541</v>
      </c>
      <c r="D200" s="474" t="s">
        <v>609</v>
      </c>
      <c r="E200" s="475"/>
      <c r="F200" s="431" t="s">
        <v>1088</v>
      </c>
      <c r="G200" s="476" t="s">
        <v>1089</v>
      </c>
      <c r="H200" s="477" t="s">
        <v>1090</v>
      </c>
      <c r="I200" s="477" t="s">
        <v>610</v>
      </c>
      <c r="J200" s="478" t="s">
        <v>610</v>
      </c>
      <c r="K200" s="473">
        <v>1</v>
      </c>
      <c r="L200" s="431">
        <v>3</v>
      </c>
      <c r="M200" s="475">
        <v>15900</v>
      </c>
      <c r="N200" s="473">
        <v>0</v>
      </c>
      <c r="O200" s="431">
        <v>0</v>
      </c>
      <c r="P200" s="475">
        <v>0</v>
      </c>
    </row>
    <row r="201" spans="1:16" ht="36" x14ac:dyDescent="0.2">
      <c r="A201" s="431" t="s">
        <v>539</v>
      </c>
      <c r="B201" s="473" t="s">
        <v>540</v>
      </c>
      <c r="C201" s="431" t="s">
        <v>541</v>
      </c>
      <c r="D201" s="474" t="s">
        <v>1091</v>
      </c>
      <c r="E201" s="475"/>
      <c r="F201" s="431" t="s">
        <v>1092</v>
      </c>
      <c r="G201" s="476" t="s">
        <v>1093</v>
      </c>
      <c r="H201" s="477" t="s">
        <v>573</v>
      </c>
      <c r="I201" s="477" t="s">
        <v>546</v>
      </c>
      <c r="J201" s="477" t="s">
        <v>573</v>
      </c>
      <c r="K201" s="473">
        <v>1</v>
      </c>
      <c r="L201" s="431">
        <v>3</v>
      </c>
      <c r="M201" s="475">
        <v>8400</v>
      </c>
      <c r="N201" s="473">
        <v>0</v>
      </c>
      <c r="O201" s="431">
        <v>0</v>
      </c>
      <c r="P201" s="475">
        <v>0</v>
      </c>
    </row>
    <row r="202" spans="1:16" x14ac:dyDescent="0.2">
      <c r="A202" s="431" t="s">
        <v>539</v>
      </c>
      <c r="B202" s="473" t="s">
        <v>540</v>
      </c>
      <c r="C202" s="431" t="s">
        <v>541</v>
      </c>
      <c r="D202" s="474" t="s">
        <v>638</v>
      </c>
      <c r="E202" s="475"/>
      <c r="F202" s="431" t="s">
        <v>1094</v>
      </c>
      <c r="G202" s="476" t="s">
        <v>1095</v>
      </c>
      <c r="H202" s="477" t="s">
        <v>638</v>
      </c>
      <c r="I202" s="477" t="s">
        <v>555</v>
      </c>
      <c r="J202" s="477" t="s">
        <v>638</v>
      </c>
      <c r="K202" s="473">
        <v>1</v>
      </c>
      <c r="L202" s="431">
        <v>4</v>
      </c>
      <c r="M202" s="475">
        <v>18150</v>
      </c>
      <c r="N202" s="473">
        <v>0</v>
      </c>
      <c r="O202" s="431">
        <v>0</v>
      </c>
      <c r="P202" s="475">
        <v>0</v>
      </c>
    </row>
    <row r="203" spans="1:16" ht="24" x14ac:dyDescent="0.2">
      <c r="A203" s="431" t="s">
        <v>539</v>
      </c>
      <c r="B203" s="473" t="s">
        <v>540</v>
      </c>
      <c r="C203" s="431" t="s">
        <v>541</v>
      </c>
      <c r="D203" s="474" t="s">
        <v>1096</v>
      </c>
      <c r="E203" s="475"/>
      <c r="F203" s="431" t="s">
        <v>1097</v>
      </c>
      <c r="G203" s="476" t="s">
        <v>1098</v>
      </c>
      <c r="H203" s="477" t="s">
        <v>738</v>
      </c>
      <c r="I203" s="477" t="s">
        <v>610</v>
      </c>
      <c r="J203" s="478" t="s">
        <v>610</v>
      </c>
      <c r="K203" s="473">
        <v>1</v>
      </c>
      <c r="L203" s="431">
        <v>3</v>
      </c>
      <c r="M203" s="475">
        <v>15000</v>
      </c>
      <c r="N203" s="473">
        <v>0</v>
      </c>
      <c r="O203" s="431">
        <v>0</v>
      </c>
      <c r="P203" s="475">
        <v>0</v>
      </c>
    </row>
    <row r="204" spans="1:16" x14ac:dyDescent="0.2">
      <c r="A204" s="431" t="s">
        <v>539</v>
      </c>
      <c r="B204" s="473" t="s">
        <v>540</v>
      </c>
      <c r="C204" s="431" t="s">
        <v>541</v>
      </c>
      <c r="D204" s="474" t="s">
        <v>1099</v>
      </c>
      <c r="E204" s="475"/>
      <c r="F204" s="431" t="s">
        <v>1100</v>
      </c>
      <c r="G204" s="476" t="s">
        <v>1101</v>
      </c>
      <c r="H204" s="477" t="s">
        <v>573</v>
      </c>
      <c r="I204" s="477" t="s">
        <v>555</v>
      </c>
      <c r="J204" s="477" t="s">
        <v>573</v>
      </c>
      <c r="K204" s="473">
        <v>1</v>
      </c>
      <c r="L204" s="431">
        <v>5</v>
      </c>
      <c r="M204" s="475">
        <v>24750</v>
      </c>
      <c r="N204" s="473">
        <v>0</v>
      </c>
      <c r="O204" s="431">
        <v>0</v>
      </c>
      <c r="P204" s="475">
        <v>0</v>
      </c>
    </row>
    <row r="205" spans="1:16" ht="36" x14ac:dyDescent="0.2">
      <c r="A205" s="431" t="s">
        <v>539</v>
      </c>
      <c r="B205" s="473" t="s">
        <v>540</v>
      </c>
      <c r="C205" s="431" t="s">
        <v>541</v>
      </c>
      <c r="D205" s="474" t="s">
        <v>1102</v>
      </c>
      <c r="E205" s="475"/>
      <c r="F205" s="431" t="s">
        <v>1103</v>
      </c>
      <c r="G205" s="476" t="s">
        <v>1104</v>
      </c>
      <c r="H205" s="477" t="s">
        <v>550</v>
      </c>
      <c r="I205" s="477" t="s">
        <v>550</v>
      </c>
      <c r="J205" s="478" t="s">
        <v>550</v>
      </c>
      <c r="K205" s="473">
        <v>1</v>
      </c>
      <c r="L205" s="431">
        <v>3</v>
      </c>
      <c r="M205" s="475">
        <v>8700</v>
      </c>
      <c r="N205" s="473">
        <v>0</v>
      </c>
      <c r="O205" s="431">
        <v>0</v>
      </c>
      <c r="P205" s="475">
        <v>0</v>
      </c>
    </row>
    <row r="206" spans="1:16" ht="24" x14ac:dyDescent="0.2">
      <c r="A206" s="431" t="s">
        <v>539</v>
      </c>
      <c r="B206" s="473" t="s">
        <v>540</v>
      </c>
      <c r="C206" s="431" t="s">
        <v>541</v>
      </c>
      <c r="D206" s="474" t="s">
        <v>1105</v>
      </c>
      <c r="E206" s="475"/>
      <c r="F206" s="431" t="s">
        <v>1106</v>
      </c>
      <c r="G206" s="476" t="s">
        <v>1107</v>
      </c>
      <c r="H206" s="477" t="s">
        <v>550</v>
      </c>
      <c r="I206" s="477" t="s">
        <v>550</v>
      </c>
      <c r="J206" s="478" t="s">
        <v>550</v>
      </c>
      <c r="K206" s="473">
        <v>1</v>
      </c>
      <c r="L206" s="431">
        <v>3</v>
      </c>
      <c r="M206" s="475">
        <v>7500</v>
      </c>
      <c r="N206" s="473">
        <v>0</v>
      </c>
      <c r="O206" s="431">
        <v>0</v>
      </c>
      <c r="P206" s="475">
        <v>0</v>
      </c>
    </row>
    <row r="207" spans="1:16" x14ac:dyDescent="0.2">
      <c r="A207" s="431" t="s">
        <v>539</v>
      </c>
      <c r="B207" s="473" t="s">
        <v>540</v>
      </c>
      <c r="C207" s="431" t="s">
        <v>541</v>
      </c>
      <c r="D207" s="474" t="s">
        <v>625</v>
      </c>
      <c r="E207" s="475"/>
      <c r="F207" s="431" t="s">
        <v>1108</v>
      </c>
      <c r="G207" s="476" t="s">
        <v>1109</v>
      </c>
      <c r="H207" s="477" t="s">
        <v>550</v>
      </c>
      <c r="I207" s="477" t="s">
        <v>550</v>
      </c>
      <c r="J207" s="478" t="s">
        <v>550</v>
      </c>
      <c r="K207" s="473">
        <v>1</v>
      </c>
      <c r="L207" s="431">
        <v>3</v>
      </c>
      <c r="M207" s="475">
        <v>9000</v>
      </c>
      <c r="N207" s="473">
        <v>0</v>
      </c>
      <c r="O207" s="431">
        <v>0</v>
      </c>
      <c r="P207" s="475">
        <v>0</v>
      </c>
    </row>
    <row r="208" spans="1:16" ht="24" x14ac:dyDescent="0.2">
      <c r="A208" s="431" t="s">
        <v>539</v>
      </c>
      <c r="B208" s="473" t="s">
        <v>540</v>
      </c>
      <c r="C208" s="431" t="s">
        <v>541</v>
      </c>
      <c r="D208" s="474" t="s">
        <v>619</v>
      </c>
      <c r="E208" s="475"/>
      <c r="F208" s="431" t="s">
        <v>1110</v>
      </c>
      <c r="G208" s="476" t="s">
        <v>1111</v>
      </c>
      <c r="H208" s="477" t="s">
        <v>550</v>
      </c>
      <c r="I208" s="477" t="s">
        <v>550</v>
      </c>
      <c r="J208" s="478" t="s">
        <v>550</v>
      </c>
      <c r="K208" s="473">
        <v>1</v>
      </c>
      <c r="L208" s="431">
        <v>3</v>
      </c>
      <c r="M208" s="475">
        <v>5700</v>
      </c>
      <c r="N208" s="473">
        <v>0</v>
      </c>
      <c r="O208" s="431">
        <v>0</v>
      </c>
      <c r="P208" s="475">
        <v>0</v>
      </c>
    </row>
    <row r="209" spans="1:16" ht="24" x14ac:dyDescent="0.2">
      <c r="A209" s="431" t="s">
        <v>539</v>
      </c>
      <c r="B209" s="473" t="s">
        <v>540</v>
      </c>
      <c r="C209" s="431" t="s">
        <v>541</v>
      </c>
      <c r="D209" s="474" t="s">
        <v>1112</v>
      </c>
      <c r="E209" s="475"/>
      <c r="F209" s="431" t="s">
        <v>1113</v>
      </c>
      <c r="G209" s="476" t="s">
        <v>1114</v>
      </c>
      <c r="H209" s="477" t="s">
        <v>550</v>
      </c>
      <c r="I209" s="477" t="s">
        <v>550</v>
      </c>
      <c r="J209" s="478" t="s">
        <v>550</v>
      </c>
      <c r="K209" s="473">
        <v>1</v>
      </c>
      <c r="L209" s="431">
        <v>3</v>
      </c>
      <c r="M209" s="475">
        <v>9000</v>
      </c>
      <c r="N209" s="473">
        <v>0</v>
      </c>
      <c r="O209" s="431">
        <v>0</v>
      </c>
      <c r="P209" s="475">
        <v>0</v>
      </c>
    </row>
    <row r="210" spans="1:16" ht="24" x14ac:dyDescent="0.2">
      <c r="A210" s="431" t="s">
        <v>539</v>
      </c>
      <c r="B210" s="473" t="s">
        <v>540</v>
      </c>
      <c r="C210" s="431" t="s">
        <v>541</v>
      </c>
      <c r="D210" s="474" t="s">
        <v>619</v>
      </c>
      <c r="E210" s="475"/>
      <c r="F210" s="431" t="s">
        <v>1115</v>
      </c>
      <c r="G210" s="476" t="s">
        <v>1116</v>
      </c>
      <c r="H210" s="477" t="s">
        <v>550</v>
      </c>
      <c r="I210" s="477" t="s">
        <v>550</v>
      </c>
      <c r="J210" s="478" t="s">
        <v>550</v>
      </c>
      <c r="K210" s="473">
        <v>1</v>
      </c>
      <c r="L210" s="431">
        <v>5</v>
      </c>
      <c r="M210" s="475">
        <v>7000</v>
      </c>
      <c r="N210" s="473">
        <v>0</v>
      </c>
      <c r="O210" s="431">
        <v>0</v>
      </c>
      <c r="P210" s="475">
        <v>0</v>
      </c>
    </row>
    <row r="211" spans="1:16" x14ac:dyDescent="0.2">
      <c r="A211" s="431" t="s">
        <v>539</v>
      </c>
      <c r="B211" s="473" t="s">
        <v>540</v>
      </c>
      <c r="C211" s="431" t="s">
        <v>541</v>
      </c>
      <c r="D211" s="474" t="s">
        <v>1117</v>
      </c>
      <c r="E211" s="475"/>
      <c r="F211" s="431" t="s">
        <v>1118</v>
      </c>
      <c r="G211" s="476" t="s">
        <v>1119</v>
      </c>
      <c r="H211" s="477" t="s">
        <v>550</v>
      </c>
      <c r="I211" s="477" t="s">
        <v>550</v>
      </c>
      <c r="J211" s="478" t="s">
        <v>550</v>
      </c>
      <c r="K211" s="473">
        <v>1</v>
      </c>
      <c r="L211" s="431">
        <v>3</v>
      </c>
      <c r="M211" s="475">
        <v>5175</v>
      </c>
      <c r="N211" s="473">
        <v>0</v>
      </c>
      <c r="O211" s="431">
        <v>0</v>
      </c>
      <c r="P211" s="475">
        <v>0</v>
      </c>
    </row>
    <row r="212" spans="1:16" ht="36" x14ac:dyDescent="0.2">
      <c r="A212" s="431" t="s">
        <v>539</v>
      </c>
      <c r="B212" s="473" t="s">
        <v>540</v>
      </c>
      <c r="C212" s="431" t="s">
        <v>541</v>
      </c>
      <c r="D212" s="474" t="s">
        <v>1120</v>
      </c>
      <c r="E212" s="475"/>
      <c r="F212" s="431" t="s">
        <v>1121</v>
      </c>
      <c r="G212" s="476" t="s">
        <v>1122</v>
      </c>
      <c r="H212" s="477" t="s">
        <v>550</v>
      </c>
      <c r="I212" s="477" t="s">
        <v>550</v>
      </c>
      <c r="J212" s="478" t="s">
        <v>550</v>
      </c>
      <c r="K212" s="473">
        <v>1</v>
      </c>
      <c r="L212" s="431">
        <v>3</v>
      </c>
      <c r="M212" s="475">
        <v>6300</v>
      </c>
      <c r="N212" s="473">
        <v>0</v>
      </c>
      <c r="O212" s="431">
        <v>0</v>
      </c>
      <c r="P212" s="475">
        <v>0</v>
      </c>
    </row>
    <row r="213" spans="1:16" ht="36" x14ac:dyDescent="0.2">
      <c r="A213" s="431" t="s">
        <v>539</v>
      </c>
      <c r="B213" s="473" t="s">
        <v>540</v>
      </c>
      <c r="C213" s="431" t="s">
        <v>541</v>
      </c>
      <c r="D213" s="474" t="s">
        <v>1120</v>
      </c>
      <c r="E213" s="475"/>
      <c r="F213" s="431" t="s">
        <v>1123</v>
      </c>
      <c r="G213" s="476" t="s">
        <v>1124</v>
      </c>
      <c r="H213" s="477" t="s">
        <v>550</v>
      </c>
      <c r="I213" s="477" t="s">
        <v>550</v>
      </c>
      <c r="J213" s="478" t="s">
        <v>550</v>
      </c>
      <c r="K213" s="473">
        <v>1</v>
      </c>
      <c r="L213" s="431">
        <v>3</v>
      </c>
      <c r="M213" s="475">
        <v>8400</v>
      </c>
      <c r="N213" s="473">
        <v>0</v>
      </c>
      <c r="O213" s="431">
        <v>0</v>
      </c>
      <c r="P213" s="475">
        <v>0</v>
      </c>
    </row>
    <row r="214" spans="1:16" ht="24" x14ac:dyDescent="0.2">
      <c r="A214" s="431" t="s">
        <v>539</v>
      </c>
      <c r="B214" s="473" t="s">
        <v>540</v>
      </c>
      <c r="C214" s="431" t="s">
        <v>541</v>
      </c>
      <c r="D214" s="474" t="s">
        <v>619</v>
      </c>
      <c r="E214" s="475"/>
      <c r="F214" s="431" t="s">
        <v>1125</v>
      </c>
      <c r="G214" s="476" t="s">
        <v>1126</v>
      </c>
      <c r="H214" s="477" t="s">
        <v>550</v>
      </c>
      <c r="I214" s="477" t="s">
        <v>550</v>
      </c>
      <c r="J214" s="478" t="s">
        <v>550</v>
      </c>
      <c r="K214" s="473">
        <v>1</v>
      </c>
      <c r="L214" s="431">
        <v>3</v>
      </c>
      <c r="M214" s="475">
        <v>5175</v>
      </c>
      <c r="N214" s="473">
        <v>0</v>
      </c>
      <c r="O214" s="431">
        <v>0</v>
      </c>
      <c r="P214" s="475">
        <v>0</v>
      </c>
    </row>
    <row r="215" spans="1:16" x14ac:dyDescent="0.2">
      <c r="A215" s="431" t="s">
        <v>539</v>
      </c>
      <c r="B215" s="473" t="s">
        <v>540</v>
      </c>
      <c r="C215" s="431" t="s">
        <v>541</v>
      </c>
      <c r="D215" s="474" t="s">
        <v>545</v>
      </c>
      <c r="E215" s="475"/>
      <c r="F215" s="431" t="s">
        <v>1127</v>
      </c>
      <c r="G215" s="476" t="s">
        <v>1128</v>
      </c>
      <c r="H215" s="477" t="s">
        <v>550</v>
      </c>
      <c r="I215" s="477" t="s">
        <v>550</v>
      </c>
      <c r="J215" s="478" t="s">
        <v>550</v>
      </c>
      <c r="K215" s="473">
        <v>1</v>
      </c>
      <c r="L215" s="431">
        <v>7</v>
      </c>
      <c r="M215" s="475">
        <v>12900</v>
      </c>
      <c r="N215" s="473">
        <v>0</v>
      </c>
      <c r="O215" s="431">
        <v>0</v>
      </c>
      <c r="P215" s="475">
        <v>0</v>
      </c>
    </row>
    <row r="216" spans="1:16" ht="24" x14ac:dyDescent="0.2">
      <c r="A216" s="431" t="s">
        <v>539</v>
      </c>
      <c r="B216" s="473" t="s">
        <v>540</v>
      </c>
      <c r="C216" s="431" t="s">
        <v>541</v>
      </c>
      <c r="D216" s="474" t="s">
        <v>542</v>
      </c>
      <c r="E216" s="475"/>
      <c r="F216" s="431" t="s">
        <v>1129</v>
      </c>
      <c r="G216" s="476" t="s">
        <v>1130</v>
      </c>
      <c r="H216" s="477" t="s">
        <v>550</v>
      </c>
      <c r="I216" s="477" t="s">
        <v>550</v>
      </c>
      <c r="J216" s="478" t="s">
        <v>550</v>
      </c>
      <c r="K216" s="473">
        <v>1</v>
      </c>
      <c r="L216" s="431">
        <v>3</v>
      </c>
      <c r="M216" s="475">
        <v>8958</v>
      </c>
      <c r="N216" s="473">
        <v>0</v>
      </c>
      <c r="O216" s="431">
        <v>0</v>
      </c>
      <c r="P216" s="475">
        <v>0</v>
      </c>
    </row>
    <row r="217" spans="1:16" ht="24" x14ac:dyDescent="0.2">
      <c r="A217" s="431" t="s">
        <v>539</v>
      </c>
      <c r="B217" s="473" t="s">
        <v>540</v>
      </c>
      <c r="C217" s="431" t="s">
        <v>541</v>
      </c>
      <c r="D217" s="474" t="s">
        <v>1131</v>
      </c>
      <c r="E217" s="475"/>
      <c r="F217" s="431" t="s">
        <v>1132</v>
      </c>
      <c r="G217" s="476" t="s">
        <v>1133</v>
      </c>
      <c r="H217" s="477" t="s">
        <v>550</v>
      </c>
      <c r="I217" s="477" t="s">
        <v>550</v>
      </c>
      <c r="J217" s="478" t="s">
        <v>550</v>
      </c>
      <c r="K217" s="473">
        <v>1</v>
      </c>
      <c r="L217" s="431">
        <v>3</v>
      </c>
      <c r="M217" s="475">
        <v>9000</v>
      </c>
      <c r="N217" s="473">
        <v>0</v>
      </c>
      <c r="O217" s="431">
        <v>0</v>
      </c>
      <c r="P217" s="475">
        <v>0</v>
      </c>
    </row>
    <row r="218" spans="1:16" ht="24" x14ac:dyDescent="0.2">
      <c r="A218" s="431" t="s">
        <v>539</v>
      </c>
      <c r="B218" s="473" t="s">
        <v>540</v>
      </c>
      <c r="C218" s="431" t="s">
        <v>541</v>
      </c>
      <c r="D218" s="474" t="s">
        <v>1134</v>
      </c>
      <c r="E218" s="475"/>
      <c r="F218" s="431" t="s">
        <v>1135</v>
      </c>
      <c r="G218" s="476" t="s">
        <v>1136</v>
      </c>
      <c r="H218" s="477" t="s">
        <v>550</v>
      </c>
      <c r="I218" s="477" t="s">
        <v>550</v>
      </c>
      <c r="J218" s="478" t="s">
        <v>550</v>
      </c>
      <c r="K218" s="473">
        <v>1</v>
      </c>
      <c r="L218" s="431">
        <v>3</v>
      </c>
      <c r="M218" s="475">
        <v>6900</v>
      </c>
      <c r="N218" s="473">
        <v>0</v>
      </c>
      <c r="O218" s="431">
        <v>0</v>
      </c>
      <c r="P218" s="475">
        <v>0</v>
      </c>
    </row>
    <row r="219" spans="1:16" ht="24" x14ac:dyDescent="0.2">
      <c r="A219" s="431" t="s">
        <v>539</v>
      </c>
      <c r="B219" s="473" t="s">
        <v>540</v>
      </c>
      <c r="C219" s="431" t="s">
        <v>541</v>
      </c>
      <c r="D219" s="474" t="s">
        <v>619</v>
      </c>
      <c r="E219" s="475"/>
      <c r="F219" s="431" t="s">
        <v>1137</v>
      </c>
      <c r="G219" s="476" t="s">
        <v>1138</v>
      </c>
      <c r="H219" s="477" t="s">
        <v>550</v>
      </c>
      <c r="I219" s="477" t="s">
        <v>550</v>
      </c>
      <c r="J219" s="478" t="s">
        <v>550</v>
      </c>
      <c r="K219" s="473">
        <v>1</v>
      </c>
      <c r="L219" s="431">
        <v>3</v>
      </c>
      <c r="M219" s="475">
        <v>5175</v>
      </c>
      <c r="N219" s="473">
        <v>0</v>
      </c>
      <c r="O219" s="431">
        <v>0</v>
      </c>
      <c r="P219" s="475">
        <v>0</v>
      </c>
    </row>
    <row r="220" spans="1:16" ht="24" x14ac:dyDescent="0.2">
      <c r="A220" s="431" t="s">
        <v>539</v>
      </c>
      <c r="B220" s="473" t="s">
        <v>540</v>
      </c>
      <c r="C220" s="431" t="s">
        <v>541</v>
      </c>
      <c r="D220" s="474" t="s">
        <v>619</v>
      </c>
      <c r="E220" s="475"/>
      <c r="F220" s="431" t="s">
        <v>1139</v>
      </c>
      <c r="G220" s="476" t="s">
        <v>1140</v>
      </c>
      <c r="H220" s="477" t="s">
        <v>638</v>
      </c>
      <c r="I220" s="477" t="s">
        <v>610</v>
      </c>
      <c r="J220" s="478" t="s">
        <v>610</v>
      </c>
      <c r="K220" s="473">
        <v>1</v>
      </c>
      <c r="L220" s="431">
        <v>3</v>
      </c>
      <c r="M220" s="475">
        <v>7500</v>
      </c>
      <c r="N220" s="473">
        <v>0</v>
      </c>
      <c r="O220" s="431">
        <v>0</v>
      </c>
      <c r="P220" s="475">
        <v>0</v>
      </c>
    </row>
    <row r="221" spans="1:16" ht="24" x14ac:dyDescent="0.2">
      <c r="A221" s="431" t="s">
        <v>539</v>
      </c>
      <c r="B221" s="473" t="s">
        <v>540</v>
      </c>
      <c r="C221" s="431" t="s">
        <v>541</v>
      </c>
      <c r="D221" s="474" t="s">
        <v>542</v>
      </c>
      <c r="E221" s="475"/>
      <c r="F221" s="431" t="s">
        <v>1141</v>
      </c>
      <c r="G221" s="476" t="s">
        <v>1142</v>
      </c>
      <c r="H221" s="477" t="s">
        <v>550</v>
      </c>
      <c r="I221" s="477" t="s">
        <v>550</v>
      </c>
      <c r="J221" s="478" t="s">
        <v>550</v>
      </c>
      <c r="K221" s="473">
        <v>1</v>
      </c>
      <c r="L221" s="431">
        <v>2</v>
      </c>
      <c r="M221" s="475">
        <v>7000</v>
      </c>
      <c r="N221" s="473">
        <v>0</v>
      </c>
      <c r="O221" s="431">
        <v>0</v>
      </c>
      <c r="P221" s="475">
        <v>0</v>
      </c>
    </row>
    <row r="222" spans="1:16" ht="24" x14ac:dyDescent="0.2">
      <c r="A222" s="431" t="s">
        <v>539</v>
      </c>
      <c r="B222" s="473" t="s">
        <v>540</v>
      </c>
      <c r="C222" s="431" t="s">
        <v>541</v>
      </c>
      <c r="D222" s="474" t="s">
        <v>542</v>
      </c>
      <c r="E222" s="475"/>
      <c r="F222" s="431" t="s">
        <v>1143</v>
      </c>
      <c r="G222" s="476" t="s">
        <v>1144</v>
      </c>
      <c r="H222" s="477" t="s">
        <v>550</v>
      </c>
      <c r="I222" s="477" t="s">
        <v>550</v>
      </c>
      <c r="J222" s="478" t="s">
        <v>550</v>
      </c>
      <c r="K222" s="473">
        <v>1</v>
      </c>
      <c r="L222" s="431">
        <v>3</v>
      </c>
      <c r="M222" s="475">
        <v>9000</v>
      </c>
      <c r="N222" s="473">
        <v>0</v>
      </c>
      <c r="O222" s="431">
        <v>0</v>
      </c>
      <c r="P222" s="475">
        <v>0</v>
      </c>
    </row>
    <row r="223" spans="1:16" ht="36" x14ac:dyDescent="0.2">
      <c r="A223" s="431" t="s">
        <v>539</v>
      </c>
      <c r="B223" s="473" t="s">
        <v>540</v>
      </c>
      <c r="C223" s="431" t="s">
        <v>541</v>
      </c>
      <c r="D223" s="474" t="s">
        <v>1145</v>
      </c>
      <c r="E223" s="475"/>
      <c r="F223" s="431" t="s">
        <v>1146</v>
      </c>
      <c r="G223" s="476" t="s">
        <v>1147</v>
      </c>
      <c r="H223" s="477" t="s">
        <v>550</v>
      </c>
      <c r="I223" s="477" t="s">
        <v>550</v>
      </c>
      <c r="J223" s="478" t="s">
        <v>550</v>
      </c>
      <c r="K223" s="473">
        <v>1</v>
      </c>
      <c r="L223" s="431">
        <v>8</v>
      </c>
      <c r="M223" s="475">
        <v>24300</v>
      </c>
      <c r="N223" s="473">
        <v>0</v>
      </c>
      <c r="O223" s="431">
        <v>0</v>
      </c>
      <c r="P223" s="475">
        <v>0</v>
      </c>
    </row>
    <row r="224" spans="1:16" ht="24" x14ac:dyDescent="0.2">
      <c r="A224" s="431" t="s">
        <v>539</v>
      </c>
      <c r="B224" s="473" t="s">
        <v>540</v>
      </c>
      <c r="C224" s="431" t="s">
        <v>541</v>
      </c>
      <c r="D224" s="474" t="s">
        <v>619</v>
      </c>
      <c r="E224" s="475"/>
      <c r="F224" s="431" t="s">
        <v>1148</v>
      </c>
      <c r="G224" s="476" t="s">
        <v>1149</v>
      </c>
      <c r="H224" s="477" t="s">
        <v>550</v>
      </c>
      <c r="I224" s="477" t="s">
        <v>550</v>
      </c>
      <c r="J224" s="478" t="s">
        <v>550</v>
      </c>
      <c r="K224" s="473">
        <v>1</v>
      </c>
      <c r="L224" s="431">
        <v>3</v>
      </c>
      <c r="M224" s="475">
        <v>3900</v>
      </c>
      <c r="N224" s="473">
        <v>0</v>
      </c>
      <c r="O224" s="431">
        <v>0</v>
      </c>
      <c r="P224" s="475">
        <v>0</v>
      </c>
    </row>
    <row r="225" spans="1:16" ht="24" x14ac:dyDescent="0.2">
      <c r="A225" s="431" t="s">
        <v>539</v>
      </c>
      <c r="B225" s="473" t="s">
        <v>540</v>
      </c>
      <c r="C225" s="431" t="s">
        <v>541</v>
      </c>
      <c r="D225" s="474" t="s">
        <v>613</v>
      </c>
      <c r="E225" s="475"/>
      <c r="F225" s="431" t="s">
        <v>1150</v>
      </c>
      <c r="G225" s="476" t="s">
        <v>1151</v>
      </c>
      <c r="H225" s="477" t="s">
        <v>550</v>
      </c>
      <c r="I225" s="477" t="s">
        <v>550</v>
      </c>
      <c r="J225" s="478" t="s">
        <v>550</v>
      </c>
      <c r="K225" s="473">
        <v>1</v>
      </c>
      <c r="L225" s="431">
        <v>3</v>
      </c>
      <c r="M225" s="475">
        <v>9000</v>
      </c>
      <c r="N225" s="473">
        <v>0</v>
      </c>
      <c r="O225" s="431">
        <v>0</v>
      </c>
      <c r="P225" s="475">
        <v>0</v>
      </c>
    </row>
    <row r="226" spans="1:16" x14ac:dyDescent="0.2">
      <c r="A226" s="431" t="s">
        <v>539</v>
      </c>
      <c r="B226" s="473" t="s">
        <v>540</v>
      </c>
      <c r="C226" s="431" t="s">
        <v>541</v>
      </c>
      <c r="D226" s="474" t="s">
        <v>545</v>
      </c>
      <c r="E226" s="475"/>
      <c r="F226" s="431" t="s">
        <v>1152</v>
      </c>
      <c r="G226" s="476" t="s">
        <v>1153</v>
      </c>
      <c r="H226" s="477" t="s">
        <v>550</v>
      </c>
      <c r="I226" s="477" t="s">
        <v>550</v>
      </c>
      <c r="J226" s="478" t="s">
        <v>550</v>
      </c>
      <c r="K226" s="473">
        <v>1</v>
      </c>
      <c r="L226" s="431">
        <v>2</v>
      </c>
      <c r="M226" s="475">
        <v>5800</v>
      </c>
      <c r="N226" s="473">
        <v>0</v>
      </c>
      <c r="O226" s="431">
        <v>0</v>
      </c>
      <c r="P226" s="475">
        <v>0</v>
      </c>
    </row>
    <row r="227" spans="1:16" ht="24" x14ac:dyDescent="0.2">
      <c r="A227" s="431" t="s">
        <v>539</v>
      </c>
      <c r="B227" s="473" t="s">
        <v>540</v>
      </c>
      <c r="C227" s="431" t="s">
        <v>541</v>
      </c>
      <c r="D227" s="474" t="s">
        <v>1105</v>
      </c>
      <c r="E227" s="475"/>
      <c r="F227" s="431" t="s">
        <v>1154</v>
      </c>
      <c r="G227" s="476" t="s">
        <v>1155</v>
      </c>
      <c r="H227" s="477" t="s">
        <v>550</v>
      </c>
      <c r="I227" s="477" t="s">
        <v>550</v>
      </c>
      <c r="J227" s="478" t="s">
        <v>550</v>
      </c>
      <c r="K227" s="473">
        <v>1</v>
      </c>
      <c r="L227" s="431">
        <v>3</v>
      </c>
      <c r="M227" s="475">
        <v>5700</v>
      </c>
      <c r="N227" s="473">
        <v>0</v>
      </c>
      <c r="O227" s="431">
        <v>0</v>
      </c>
      <c r="P227" s="475">
        <v>0</v>
      </c>
    </row>
    <row r="228" spans="1:16" ht="24" x14ac:dyDescent="0.2">
      <c r="A228" s="431" t="s">
        <v>539</v>
      </c>
      <c r="B228" s="473" t="s">
        <v>540</v>
      </c>
      <c r="C228" s="431" t="s">
        <v>541</v>
      </c>
      <c r="D228" s="474" t="s">
        <v>542</v>
      </c>
      <c r="E228" s="475"/>
      <c r="F228" s="431" t="s">
        <v>1156</v>
      </c>
      <c r="G228" s="476" t="s">
        <v>1157</v>
      </c>
      <c r="H228" s="477" t="s">
        <v>550</v>
      </c>
      <c r="I228" s="477" t="s">
        <v>550</v>
      </c>
      <c r="J228" s="478" t="s">
        <v>550</v>
      </c>
      <c r="K228" s="473">
        <v>1</v>
      </c>
      <c r="L228" s="431">
        <v>2</v>
      </c>
      <c r="M228" s="475">
        <v>5000</v>
      </c>
      <c r="N228" s="473">
        <v>0</v>
      </c>
      <c r="O228" s="431">
        <v>0</v>
      </c>
      <c r="P228" s="475">
        <v>0</v>
      </c>
    </row>
    <row r="229" spans="1:16" ht="24" x14ac:dyDescent="0.2">
      <c r="A229" s="431" t="s">
        <v>539</v>
      </c>
      <c r="B229" s="473" t="s">
        <v>540</v>
      </c>
      <c r="C229" s="431" t="s">
        <v>541</v>
      </c>
      <c r="D229" s="474" t="s">
        <v>619</v>
      </c>
      <c r="E229" s="475"/>
      <c r="F229" s="431" t="s">
        <v>1158</v>
      </c>
      <c r="G229" s="476" t="s">
        <v>1159</v>
      </c>
      <c r="H229" s="477" t="s">
        <v>550</v>
      </c>
      <c r="I229" s="477" t="s">
        <v>550</v>
      </c>
      <c r="J229" s="478" t="s">
        <v>550</v>
      </c>
      <c r="K229" s="473">
        <v>1</v>
      </c>
      <c r="L229" s="431">
        <v>3</v>
      </c>
      <c r="M229" s="475">
        <v>6000</v>
      </c>
      <c r="N229" s="473">
        <v>0</v>
      </c>
      <c r="O229" s="431">
        <v>0</v>
      </c>
      <c r="P229" s="475">
        <v>0</v>
      </c>
    </row>
    <row r="230" spans="1:16" ht="24" x14ac:dyDescent="0.2">
      <c r="A230" s="431" t="s">
        <v>539</v>
      </c>
      <c r="B230" s="473" t="s">
        <v>540</v>
      </c>
      <c r="C230" s="431" t="s">
        <v>541</v>
      </c>
      <c r="D230" s="474" t="s">
        <v>619</v>
      </c>
      <c r="E230" s="475"/>
      <c r="F230" s="431" t="s">
        <v>1160</v>
      </c>
      <c r="G230" s="476" t="s">
        <v>1161</v>
      </c>
      <c r="H230" s="477" t="s">
        <v>550</v>
      </c>
      <c r="I230" s="477" t="s">
        <v>550</v>
      </c>
      <c r="J230" s="478" t="s">
        <v>550</v>
      </c>
      <c r="K230" s="473">
        <v>1</v>
      </c>
      <c r="L230" s="431">
        <v>3</v>
      </c>
      <c r="M230" s="475">
        <v>3900</v>
      </c>
      <c r="N230" s="473">
        <v>0</v>
      </c>
      <c r="O230" s="431">
        <v>0</v>
      </c>
      <c r="P230" s="475">
        <v>0</v>
      </c>
    </row>
    <row r="231" spans="1:16" ht="24" x14ac:dyDescent="0.2">
      <c r="A231" s="431" t="s">
        <v>539</v>
      </c>
      <c r="B231" s="473" t="s">
        <v>540</v>
      </c>
      <c r="C231" s="431" t="s">
        <v>541</v>
      </c>
      <c r="D231" s="474" t="s">
        <v>619</v>
      </c>
      <c r="E231" s="475"/>
      <c r="F231" s="431" t="s">
        <v>1162</v>
      </c>
      <c r="G231" s="476" t="s">
        <v>1163</v>
      </c>
      <c r="H231" s="477" t="s">
        <v>550</v>
      </c>
      <c r="I231" s="477" t="s">
        <v>550</v>
      </c>
      <c r="J231" s="478" t="s">
        <v>550</v>
      </c>
      <c r="K231" s="473">
        <v>1</v>
      </c>
      <c r="L231" s="431">
        <v>3</v>
      </c>
      <c r="M231" s="475">
        <v>6750</v>
      </c>
      <c r="N231" s="473">
        <v>0</v>
      </c>
      <c r="O231" s="431">
        <v>0</v>
      </c>
      <c r="P231" s="475">
        <v>0</v>
      </c>
    </row>
    <row r="232" spans="1:16" ht="24" x14ac:dyDescent="0.2">
      <c r="A232" s="431" t="s">
        <v>539</v>
      </c>
      <c r="B232" s="473" t="s">
        <v>540</v>
      </c>
      <c r="C232" s="431" t="s">
        <v>541</v>
      </c>
      <c r="D232" s="474" t="s">
        <v>1164</v>
      </c>
      <c r="E232" s="475"/>
      <c r="F232" s="431" t="s">
        <v>1165</v>
      </c>
      <c r="G232" s="476" t="s">
        <v>1166</v>
      </c>
      <c r="H232" s="477" t="s">
        <v>1167</v>
      </c>
      <c r="I232" s="477" t="s">
        <v>580</v>
      </c>
      <c r="J232" s="478" t="s">
        <v>580</v>
      </c>
      <c r="K232" s="473">
        <v>1</v>
      </c>
      <c r="L232" s="431">
        <v>5</v>
      </c>
      <c r="M232" s="475">
        <v>15000</v>
      </c>
      <c r="N232" s="473">
        <v>0</v>
      </c>
      <c r="O232" s="431">
        <v>0</v>
      </c>
      <c r="P232" s="475">
        <v>0</v>
      </c>
    </row>
    <row r="233" spans="1:16" ht="24" x14ac:dyDescent="0.2">
      <c r="A233" s="431" t="s">
        <v>539</v>
      </c>
      <c r="B233" s="473" t="s">
        <v>540</v>
      </c>
      <c r="C233" s="431" t="s">
        <v>541</v>
      </c>
      <c r="D233" s="474" t="s">
        <v>619</v>
      </c>
      <c r="E233" s="475"/>
      <c r="F233" s="431" t="s">
        <v>1168</v>
      </c>
      <c r="G233" s="476" t="s">
        <v>1169</v>
      </c>
      <c r="H233" s="477" t="s">
        <v>550</v>
      </c>
      <c r="I233" s="477" t="s">
        <v>550</v>
      </c>
      <c r="J233" s="478" t="s">
        <v>550</v>
      </c>
      <c r="K233" s="473">
        <v>1</v>
      </c>
      <c r="L233" s="431">
        <v>3</v>
      </c>
      <c r="M233" s="475">
        <v>6000</v>
      </c>
      <c r="N233" s="473">
        <v>0</v>
      </c>
      <c r="O233" s="431">
        <v>0</v>
      </c>
      <c r="P233" s="475">
        <v>0</v>
      </c>
    </row>
    <row r="234" spans="1:16" ht="24" x14ac:dyDescent="0.2">
      <c r="A234" s="431" t="s">
        <v>539</v>
      </c>
      <c r="B234" s="473" t="s">
        <v>540</v>
      </c>
      <c r="C234" s="431" t="s">
        <v>541</v>
      </c>
      <c r="D234" s="474" t="s">
        <v>1170</v>
      </c>
      <c r="E234" s="475"/>
      <c r="F234" s="431" t="s">
        <v>1171</v>
      </c>
      <c r="G234" s="476" t="s">
        <v>1172</v>
      </c>
      <c r="H234" s="477" t="s">
        <v>573</v>
      </c>
      <c r="I234" s="477" t="s">
        <v>555</v>
      </c>
      <c r="J234" s="477" t="s">
        <v>573</v>
      </c>
      <c r="K234" s="473">
        <v>1</v>
      </c>
      <c r="L234" s="431">
        <v>3</v>
      </c>
      <c r="M234" s="475">
        <v>16500</v>
      </c>
      <c r="N234" s="473">
        <v>0</v>
      </c>
      <c r="O234" s="431">
        <v>0</v>
      </c>
      <c r="P234" s="475">
        <v>0</v>
      </c>
    </row>
    <row r="235" spans="1:16" x14ac:dyDescent="0.2">
      <c r="A235" s="431" t="s">
        <v>539</v>
      </c>
      <c r="B235" s="473" t="s">
        <v>540</v>
      </c>
      <c r="C235" s="431" t="s">
        <v>541</v>
      </c>
      <c r="D235" s="474" t="s">
        <v>1173</v>
      </c>
      <c r="E235" s="475"/>
      <c r="F235" s="431" t="s">
        <v>1174</v>
      </c>
      <c r="G235" s="476" t="s">
        <v>1175</v>
      </c>
      <c r="H235" s="477" t="s">
        <v>550</v>
      </c>
      <c r="I235" s="477" t="s">
        <v>550</v>
      </c>
      <c r="J235" s="478" t="s">
        <v>550</v>
      </c>
      <c r="K235" s="473">
        <v>1</v>
      </c>
      <c r="L235" s="431">
        <v>2</v>
      </c>
      <c r="M235" s="475">
        <v>8000</v>
      </c>
      <c r="N235" s="473">
        <v>0</v>
      </c>
      <c r="O235" s="431">
        <v>0</v>
      </c>
      <c r="P235" s="475">
        <v>0</v>
      </c>
    </row>
    <row r="236" spans="1:16" x14ac:dyDescent="0.2">
      <c r="A236" s="431" t="s">
        <v>539</v>
      </c>
      <c r="B236" s="473" t="s">
        <v>540</v>
      </c>
      <c r="C236" s="431" t="s">
        <v>541</v>
      </c>
      <c r="D236" s="474" t="s">
        <v>606</v>
      </c>
      <c r="E236" s="475"/>
      <c r="F236" s="431" t="s">
        <v>1176</v>
      </c>
      <c r="G236" s="476" t="s">
        <v>1177</v>
      </c>
      <c r="H236" s="477" t="s">
        <v>609</v>
      </c>
      <c r="I236" s="477" t="s">
        <v>610</v>
      </c>
      <c r="J236" s="478" t="s">
        <v>610</v>
      </c>
      <c r="K236" s="473">
        <v>1</v>
      </c>
      <c r="L236" s="431">
        <v>3</v>
      </c>
      <c r="M236" s="475">
        <v>15000</v>
      </c>
      <c r="N236" s="473">
        <v>0</v>
      </c>
      <c r="O236" s="431">
        <v>0</v>
      </c>
      <c r="P236" s="475">
        <v>0</v>
      </c>
    </row>
    <row r="237" spans="1:16" ht="24" x14ac:dyDescent="0.2">
      <c r="A237" s="431" t="s">
        <v>539</v>
      </c>
      <c r="B237" s="473" t="s">
        <v>540</v>
      </c>
      <c r="C237" s="431" t="s">
        <v>541</v>
      </c>
      <c r="D237" s="474" t="s">
        <v>542</v>
      </c>
      <c r="E237" s="475"/>
      <c r="F237" s="431" t="s">
        <v>1178</v>
      </c>
      <c r="G237" s="476" t="s">
        <v>1179</v>
      </c>
      <c r="H237" s="477" t="s">
        <v>673</v>
      </c>
      <c r="I237" s="477" t="s">
        <v>610</v>
      </c>
      <c r="J237" s="478" t="s">
        <v>610</v>
      </c>
      <c r="K237" s="473">
        <v>1</v>
      </c>
      <c r="L237" s="431">
        <v>3</v>
      </c>
      <c r="M237" s="475">
        <v>9900</v>
      </c>
      <c r="N237" s="473">
        <v>0</v>
      </c>
      <c r="O237" s="431">
        <v>0</v>
      </c>
      <c r="P237" s="475">
        <v>0</v>
      </c>
    </row>
    <row r="238" spans="1:16" ht="24" x14ac:dyDescent="0.2">
      <c r="A238" s="431" t="s">
        <v>539</v>
      </c>
      <c r="B238" s="473" t="s">
        <v>540</v>
      </c>
      <c r="C238" s="431" t="s">
        <v>541</v>
      </c>
      <c r="D238" s="474" t="s">
        <v>1180</v>
      </c>
      <c r="E238" s="475"/>
      <c r="F238" s="431" t="s">
        <v>1181</v>
      </c>
      <c r="G238" s="476" t="s">
        <v>1182</v>
      </c>
      <c r="H238" s="477" t="s">
        <v>1183</v>
      </c>
      <c r="I238" s="477" t="s">
        <v>610</v>
      </c>
      <c r="J238" s="478" t="s">
        <v>610</v>
      </c>
      <c r="K238" s="473">
        <v>1</v>
      </c>
      <c r="L238" s="431">
        <v>1</v>
      </c>
      <c r="M238" s="475">
        <v>3500</v>
      </c>
      <c r="N238" s="473">
        <v>0</v>
      </c>
      <c r="O238" s="431">
        <v>0</v>
      </c>
      <c r="P238" s="475">
        <v>0</v>
      </c>
    </row>
    <row r="239" spans="1:16" ht="24" x14ac:dyDescent="0.2">
      <c r="A239" s="431" t="s">
        <v>539</v>
      </c>
      <c r="B239" s="473" t="s">
        <v>540</v>
      </c>
      <c r="C239" s="431" t="s">
        <v>541</v>
      </c>
      <c r="D239" s="474" t="s">
        <v>619</v>
      </c>
      <c r="E239" s="475"/>
      <c r="F239" s="431" t="s">
        <v>1184</v>
      </c>
      <c r="G239" s="476" t="s">
        <v>1185</v>
      </c>
      <c r="H239" s="477" t="s">
        <v>550</v>
      </c>
      <c r="I239" s="477" t="s">
        <v>550</v>
      </c>
      <c r="J239" s="478" t="s">
        <v>550</v>
      </c>
      <c r="K239" s="473">
        <v>1</v>
      </c>
      <c r="L239" s="431">
        <v>3</v>
      </c>
      <c r="M239" s="475">
        <v>7800</v>
      </c>
      <c r="N239" s="473">
        <v>0</v>
      </c>
      <c r="O239" s="431">
        <v>0</v>
      </c>
      <c r="P239" s="475">
        <v>0</v>
      </c>
    </row>
    <row r="240" spans="1:16" ht="24" x14ac:dyDescent="0.2">
      <c r="A240" s="431" t="s">
        <v>539</v>
      </c>
      <c r="B240" s="473" t="s">
        <v>540</v>
      </c>
      <c r="C240" s="431" t="s">
        <v>541</v>
      </c>
      <c r="D240" s="474" t="s">
        <v>1186</v>
      </c>
      <c r="E240" s="475"/>
      <c r="F240" s="431" t="s">
        <v>1187</v>
      </c>
      <c r="G240" s="476" t="s">
        <v>1188</v>
      </c>
      <c r="H240" s="477" t="s">
        <v>550</v>
      </c>
      <c r="I240" s="477" t="s">
        <v>550</v>
      </c>
      <c r="J240" s="478" t="s">
        <v>550</v>
      </c>
      <c r="K240" s="473">
        <v>1</v>
      </c>
      <c r="L240" s="431">
        <v>3</v>
      </c>
      <c r="M240" s="475">
        <v>6600</v>
      </c>
      <c r="N240" s="473">
        <v>0</v>
      </c>
      <c r="O240" s="431">
        <v>0</v>
      </c>
      <c r="P240" s="475">
        <v>0</v>
      </c>
    </row>
    <row r="241" spans="1:16" ht="24" x14ac:dyDescent="0.2">
      <c r="A241" s="431" t="s">
        <v>539</v>
      </c>
      <c r="B241" s="473" t="s">
        <v>540</v>
      </c>
      <c r="C241" s="431" t="s">
        <v>541</v>
      </c>
      <c r="D241" s="474" t="s">
        <v>1189</v>
      </c>
      <c r="E241" s="475"/>
      <c r="F241" s="431" t="s">
        <v>1190</v>
      </c>
      <c r="G241" s="476" t="s">
        <v>1191</v>
      </c>
      <c r="H241" s="477" t="s">
        <v>550</v>
      </c>
      <c r="I241" s="477" t="s">
        <v>550</v>
      </c>
      <c r="J241" s="478" t="s">
        <v>550</v>
      </c>
      <c r="K241" s="473">
        <v>1</v>
      </c>
      <c r="L241" s="431">
        <v>3</v>
      </c>
      <c r="M241" s="475">
        <v>8400</v>
      </c>
      <c r="N241" s="473">
        <v>0</v>
      </c>
      <c r="O241" s="431">
        <v>0</v>
      </c>
      <c r="P241" s="475">
        <v>0</v>
      </c>
    </row>
    <row r="242" spans="1:16" ht="24" x14ac:dyDescent="0.2">
      <c r="A242" s="431" t="s">
        <v>539</v>
      </c>
      <c r="B242" s="473" t="s">
        <v>540</v>
      </c>
      <c r="C242" s="431" t="s">
        <v>541</v>
      </c>
      <c r="D242" s="474" t="s">
        <v>619</v>
      </c>
      <c r="E242" s="475"/>
      <c r="F242" s="431" t="s">
        <v>1192</v>
      </c>
      <c r="G242" s="476" t="s">
        <v>1193</v>
      </c>
      <c r="H242" s="477" t="s">
        <v>550</v>
      </c>
      <c r="I242" s="477" t="s">
        <v>550</v>
      </c>
      <c r="J242" s="478" t="s">
        <v>550</v>
      </c>
      <c r="K242" s="473">
        <v>1</v>
      </c>
      <c r="L242" s="431">
        <v>3</v>
      </c>
      <c r="M242" s="475">
        <v>5175</v>
      </c>
      <c r="N242" s="473">
        <v>0</v>
      </c>
      <c r="O242" s="431">
        <v>0</v>
      </c>
      <c r="P242" s="475">
        <v>0</v>
      </c>
    </row>
    <row r="243" spans="1:16" x14ac:dyDescent="0.2">
      <c r="A243" s="431" t="s">
        <v>539</v>
      </c>
      <c r="B243" s="473" t="s">
        <v>540</v>
      </c>
      <c r="C243" s="431" t="s">
        <v>541</v>
      </c>
      <c r="D243" s="474" t="s">
        <v>650</v>
      </c>
      <c r="E243" s="475"/>
      <c r="F243" s="431" t="s">
        <v>1194</v>
      </c>
      <c r="G243" s="476" t="s">
        <v>1195</v>
      </c>
      <c r="H243" s="477" t="s">
        <v>650</v>
      </c>
      <c r="I243" s="477" t="s">
        <v>610</v>
      </c>
      <c r="J243" s="478" t="s">
        <v>610</v>
      </c>
      <c r="K243" s="473">
        <v>1</v>
      </c>
      <c r="L243" s="431">
        <v>2</v>
      </c>
      <c r="M243" s="475">
        <v>4000</v>
      </c>
      <c r="N243" s="473">
        <v>0</v>
      </c>
      <c r="O243" s="431">
        <v>0</v>
      </c>
      <c r="P243" s="475">
        <v>0</v>
      </c>
    </row>
    <row r="244" spans="1:16" ht="48" x14ac:dyDescent="0.2">
      <c r="A244" s="431" t="s">
        <v>539</v>
      </c>
      <c r="B244" s="473" t="s">
        <v>540</v>
      </c>
      <c r="C244" s="431" t="s">
        <v>541</v>
      </c>
      <c r="D244" s="474" t="s">
        <v>1196</v>
      </c>
      <c r="E244" s="475"/>
      <c r="F244" s="431" t="s">
        <v>1197</v>
      </c>
      <c r="G244" s="476" t="s">
        <v>1198</v>
      </c>
      <c r="H244" s="477" t="s">
        <v>1199</v>
      </c>
      <c r="I244" s="477" t="s">
        <v>1200</v>
      </c>
      <c r="J244" s="477" t="s">
        <v>1200</v>
      </c>
      <c r="K244" s="473">
        <v>1</v>
      </c>
      <c r="L244" s="431">
        <v>2</v>
      </c>
      <c r="M244" s="475">
        <v>8000</v>
      </c>
      <c r="N244" s="473">
        <v>0</v>
      </c>
      <c r="O244" s="431">
        <v>0</v>
      </c>
      <c r="P244" s="475">
        <v>0</v>
      </c>
    </row>
    <row r="245" spans="1:16" ht="48" x14ac:dyDescent="0.2">
      <c r="A245" s="431" t="s">
        <v>539</v>
      </c>
      <c r="B245" s="473" t="s">
        <v>540</v>
      </c>
      <c r="C245" s="431" t="s">
        <v>541</v>
      </c>
      <c r="D245" s="474" t="s">
        <v>1201</v>
      </c>
      <c r="E245" s="475"/>
      <c r="F245" s="431" t="s">
        <v>1202</v>
      </c>
      <c r="G245" s="476" t="s">
        <v>1203</v>
      </c>
      <c r="H245" s="477" t="s">
        <v>550</v>
      </c>
      <c r="I245" s="477" t="s">
        <v>550</v>
      </c>
      <c r="J245" s="478" t="s">
        <v>550</v>
      </c>
      <c r="K245" s="473">
        <v>1</v>
      </c>
      <c r="L245" s="431">
        <v>3</v>
      </c>
      <c r="M245" s="475">
        <v>6900</v>
      </c>
      <c r="N245" s="473">
        <v>0</v>
      </c>
      <c r="O245" s="431">
        <v>0</v>
      </c>
      <c r="P245" s="475">
        <v>0</v>
      </c>
    </row>
    <row r="246" spans="1:16" ht="36" x14ac:dyDescent="0.2">
      <c r="A246" s="431" t="s">
        <v>539</v>
      </c>
      <c r="B246" s="473" t="s">
        <v>540</v>
      </c>
      <c r="C246" s="431" t="s">
        <v>541</v>
      </c>
      <c r="D246" s="474" t="s">
        <v>1204</v>
      </c>
      <c r="E246" s="475"/>
      <c r="F246" s="431" t="s">
        <v>1205</v>
      </c>
      <c r="G246" s="476" t="s">
        <v>1206</v>
      </c>
      <c r="H246" s="477" t="s">
        <v>673</v>
      </c>
      <c r="I246" s="477" t="s">
        <v>610</v>
      </c>
      <c r="J246" s="478" t="s">
        <v>610</v>
      </c>
      <c r="K246" s="473">
        <v>1</v>
      </c>
      <c r="L246" s="431">
        <v>3</v>
      </c>
      <c r="M246" s="475">
        <v>15000</v>
      </c>
      <c r="N246" s="473">
        <v>0</v>
      </c>
      <c r="O246" s="431">
        <v>0</v>
      </c>
      <c r="P246" s="475">
        <v>0</v>
      </c>
    </row>
    <row r="247" spans="1:16" ht="36" x14ac:dyDescent="0.2">
      <c r="A247" s="431" t="s">
        <v>539</v>
      </c>
      <c r="B247" s="473" t="s">
        <v>540</v>
      </c>
      <c r="C247" s="431" t="s">
        <v>541</v>
      </c>
      <c r="D247" s="474" t="s">
        <v>576</v>
      </c>
      <c r="E247" s="475"/>
      <c r="F247" s="431" t="s">
        <v>1207</v>
      </c>
      <c r="G247" s="476" t="s">
        <v>1208</v>
      </c>
      <c r="H247" s="477" t="s">
        <v>1209</v>
      </c>
      <c r="I247" s="477" t="s">
        <v>580</v>
      </c>
      <c r="J247" s="478" t="s">
        <v>580</v>
      </c>
      <c r="K247" s="473">
        <v>1</v>
      </c>
      <c r="L247" s="431">
        <v>5</v>
      </c>
      <c r="M247" s="475">
        <v>9250</v>
      </c>
      <c r="N247" s="473">
        <v>0</v>
      </c>
      <c r="O247" s="431">
        <v>0</v>
      </c>
      <c r="P247" s="475">
        <v>0</v>
      </c>
    </row>
    <row r="248" spans="1:16" ht="24" x14ac:dyDescent="0.2">
      <c r="A248" s="431" t="s">
        <v>539</v>
      </c>
      <c r="B248" s="473" t="s">
        <v>540</v>
      </c>
      <c r="C248" s="431" t="s">
        <v>541</v>
      </c>
      <c r="D248" s="474" t="s">
        <v>1105</v>
      </c>
      <c r="E248" s="475"/>
      <c r="F248" s="431" t="s">
        <v>1210</v>
      </c>
      <c r="G248" s="476" t="s">
        <v>1211</v>
      </c>
      <c r="H248" s="477" t="s">
        <v>550</v>
      </c>
      <c r="I248" s="477" t="s">
        <v>550</v>
      </c>
      <c r="J248" s="478" t="s">
        <v>550</v>
      </c>
      <c r="K248" s="473">
        <v>1</v>
      </c>
      <c r="L248" s="431">
        <v>3</v>
      </c>
      <c r="M248" s="475">
        <v>5175</v>
      </c>
      <c r="N248" s="473">
        <v>0</v>
      </c>
      <c r="O248" s="431">
        <v>0</v>
      </c>
      <c r="P248" s="475">
        <v>0</v>
      </c>
    </row>
    <row r="249" spans="1:16" ht="24" x14ac:dyDescent="0.2">
      <c r="A249" s="431" t="s">
        <v>539</v>
      </c>
      <c r="B249" s="473" t="s">
        <v>540</v>
      </c>
      <c r="C249" s="431" t="s">
        <v>541</v>
      </c>
      <c r="D249" s="474" t="s">
        <v>619</v>
      </c>
      <c r="E249" s="475"/>
      <c r="F249" s="431" t="s">
        <v>1212</v>
      </c>
      <c r="G249" s="476" t="s">
        <v>1213</v>
      </c>
      <c r="H249" s="477" t="s">
        <v>550</v>
      </c>
      <c r="I249" s="477" t="s">
        <v>550</v>
      </c>
      <c r="J249" s="478" t="s">
        <v>550</v>
      </c>
      <c r="K249" s="473">
        <v>1</v>
      </c>
      <c r="L249" s="431">
        <v>3</v>
      </c>
      <c r="M249" s="475">
        <v>5700</v>
      </c>
      <c r="N249" s="473">
        <v>0</v>
      </c>
      <c r="O249" s="431">
        <v>0</v>
      </c>
      <c r="P249" s="475">
        <v>0</v>
      </c>
    </row>
    <row r="250" spans="1:16" ht="24" x14ac:dyDescent="0.2">
      <c r="A250" s="431" t="s">
        <v>539</v>
      </c>
      <c r="B250" s="473" t="s">
        <v>540</v>
      </c>
      <c r="C250" s="431" t="s">
        <v>541</v>
      </c>
      <c r="D250" s="474" t="s">
        <v>1214</v>
      </c>
      <c r="E250" s="475"/>
      <c r="F250" s="431" t="s">
        <v>1215</v>
      </c>
      <c r="G250" s="476" t="s">
        <v>1216</v>
      </c>
      <c r="H250" s="477" t="s">
        <v>550</v>
      </c>
      <c r="I250" s="477" t="s">
        <v>550</v>
      </c>
      <c r="J250" s="478" t="s">
        <v>550</v>
      </c>
      <c r="K250" s="473">
        <v>1</v>
      </c>
      <c r="L250" s="431">
        <v>4</v>
      </c>
      <c r="M250" s="475">
        <v>10000</v>
      </c>
      <c r="N250" s="473">
        <v>0</v>
      </c>
      <c r="O250" s="431">
        <v>0</v>
      </c>
      <c r="P250" s="475">
        <v>0</v>
      </c>
    </row>
    <row r="251" spans="1:16" ht="24" x14ac:dyDescent="0.2">
      <c r="A251" s="431" t="s">
        <v>539</v>
      </c>
      <c r="B251" s="473" t="s">
        <v>540</v>
      </c>
      <c r="C251" s="431" t="s">
        <v>541</v>
      </c>
      <c r="D251" s="474" t="s">
        <v>1217</v>
      </c>
      <c r="E251" s="475"/>
      <c r="F251" s="431" t="s">
        <v>1218</v>
      </c>
      <c r="G251" s="476" t="s">
        <v>1219</v>
      </c>
      <c r="H251" s="477" t="s">
        <v>609</v>
      </c>
      <c r="I251" s="477" t="s">
        <v>610</v>
      </c>
      <c r="J251" s="478" t="s">
        <v>610</v>
      </c>
      <c r="K251" s="473">
        <v>1</v>
      </c>
      <c r="L251" s="431">
        <v>3</v>
      </c>
      <c r="M251" s="475">
        <v>13500</v>
      </c>
      <c r="N251" s="473">
        <v>0</v>
      </c>
      <c r="O251" s="431">
        <v>0</v>
      </c>
      <c r="P251" s="475">
        <v>0</v>
      </c>
    </row>
    <row r="252" spans="1:16" ht="24" x14ac:dyDescent="0.2">
      <c r="A252" s="431" t="s">
        <v>539</v>
      </c>
      <c r="B252" s="473" t="s">
        <v>540</v>
      </c>
      <c r="C252" s="431" t="s">
        <v>541</v>
      </c>
      <c r="D252" s="474" t="s">
        <v>1220</v>
      </c>
      <c r="E252" s="475"/>
      <c r="F252" s="431" t="s">
        <v>1221</v>
      </c>
      <c r="G252" s="476" t="s">
        <v>1222</v>
      </c>
      <c r="H252" s="477" t="s">
        <v>550</v>
      </c>
      <c r="I252" s="477" t="s">
        <v>550</v>
      </c>
      <c r="J252" s="478" t="s">
        <v>550</v>
      </c>
      <c r="K252" s="473">
        <v>1</v>
      </c>
      <c r="L252" s="431">
        <v>3</v>
      </c>
      <c r="M252" s="475">
        <v>5100</v>
      </c>
      <c r="N252" s="473">
        <v>0</v>
      </c>
      <c r="O252" s="431">
        <v>0</v>
      </c>
      <c r="P252" s="475">
        <v>0</v>
      </c>
    </row>
    <row r="253" spans="1:16" ht="24" x14ac:dyDescent="0.2">
      <c r="A253" s="431" t="s">
        <v>539</v>
      </c>
      <c r="B253" s="473" t="s">
        <v>540</v>
      </c>
      <c r="C253" s="431" t="s">
        <v>541</v>
      </c>
      <c r="D253" s="474" t="s">
        <v>1220</v>
      </c>
      <c r="E253" s="475"/>
      <c r="F253" s="431" t="s">
        <v>1223</v>
      </c>
      <c r="G253" s="476" t="s">
        <v>1224</v>
      </c>
      <c r="H253" s="477" t="s">
        <v>550</v>
      </c>
      <c r="I253" s="477" t="s">
        <v>550</v>
      </c>
      <c r="J253" s="478" t="s">
        <v>550</v>
      </c>
      <c r="K253" s="473">
        <v>1</v>
      </c>
      <c r="L253" s="431">
        <v>3</v>
      </c>
      <c r="M253" s="475">
        <v>5100</v>
      </c>
      <c r="N253" s="473">
        <v>0</v>
      </c>
      <c r="O253" s="431">
        <v>0</v>
      </c>
      <c r="P253" s="475">
        <v>0</v>
      </c>
    </row>
    <row r="254" spans="1:16" x14ac:dyDescent="0.2">
      <c r="A254" s="431" t="s">
        <v>539</v>
      </c>
      <c r="B254" s="473" t="s">
        <v>540</v>
      </c>
      <c r="C254" s="431" t="s">
        <v>541</v>
      </c>
      <c r="D254" s="474" t="s">
        <v>576</v>
      </c>
      <c r="E254" s="475"/>
      <c r="F254" s="431" t="s">
        <v>1225</v>
      </c>
      <c r="G254" s="476" t="s">
        <v>1226</v>
      </c>
      <c r="H254" s="477" t="s">
        <v>550</v>
      </c>
      <c r="I254" s="477" t="s">
        <v>550</v>
      </c>
      <c r="J254" s="478" t="s">
        <v>550</v>
      </c>
      <c r="K254" s="473">
        <v>1</v>
      </c>
      <c r="L254" s="431">
        <v>7</v>
      </c>
      <c r="M254" s="475">
        <v>13250</v>
      </c>
      <c r="N254" s="473">
        <v>0</v>
      </c>
      <c r="O254" s="431">
        <v>0</v>
      </c>
      <c r="P254" s="475">
        <v>0</v>
      </c>
    </row>
    <row r="255" spans="1:16" ht="24" x14ac:dyDescent="0.2">
      <c r="A255" s="431" t="s">
        <v>539</v>
      </c>
      <c r="B255" s="473" t="s">
        <v>540</v>
      </c>
      <c r="C255" s="431" t="s">
        <v>541</v>
      </c>
      <c r="D255" s="474" t="s">
        <v>542</v>
      </c>
      <c r="E255" s="475"/>
      <c r="F255" s="431" t="s">
        <v>1227</v>
      </c>
      <c r="G255" s="476" t="s">
        <v>1228</v>
      </c>
      <c r="H255" s="477" t="s">
        <v>550</v>
      </c>
      <c r="I255" s="477" t="s">
        <v>550</v>
      </c>
      <c r="J255" s="478" t="s">
        <v>550</v>
      </c>
      <c r="K255" s="473">
        <v>1</v>
      </c>
      <c r="L255" s="431">
        <v>3</v>
      </c>
      <c r="M255" s="475">
        <v>9900</v>
      </c>
      <c r="N255" s="473">
        <v>0</v>
      </c>
      <c r="O255" s="431">
        <v>0</v>
      </c>
      <c r="P255" s="475">
        <v>0</v>
      </c>
    </row>
    <row r="256" spans="1:16" ht="48" x14ac:dyDescent="0.2">
      <c r="A256" s="431" t="s">
        <v>539</v>
      </c>
      <c r="B256" s="473" t="s">
        <v>540</v>
      </c>
      <c r="C256" s="431" t="s">
        <v>541</v>
      </c>
      <c r="D256" s="474" t="s">
        <v>1229</v>
      </c>
      <c r="E256" s="475"/>
      <c r="F256" s="431" t="s">
        <v>1230</v>
      </c>
      <c r="G256" s="476" t="s">
        <v>1231</v>
      </c>
      <c r="H256" s="477" t="s">
        <v>573</v>
      </c>
      <c r="I256" s="477" t="s">
        <v>610</v>
      </c>
      <c r="J256" s="478" t="s">
        <v>610</v>
      </c>
      <c r="K256" s="473">
        <v>1</v>
      </c>
      <c r="L256" s="431">
        <v>3</v>
      </c>
      <c r="M256" s="475">
        <v>13500</v>
      </c>
      <c r="N256" s="473">
        <v>0</v>
      </c>
      <c r="O256" s="431">
        <v>0</v>
      </c>
      <c r="P256" s="475">
        <v>0</v>
      </c>
    </row>
    <row r="257" spans="1:16" x14ac:dyDescent="0.2">
      <c r="A257" s="431" t="s">
        <v>539</v>
      </c>
      <c r="B257" s="473" t="s">
        <v>540</v>
      </c>
      <c r="C257" s="431" t="s">
        <v>541</v>
      </c>
      <c r="D257" s="474" t="s">
        <v>587</v>
      </c>
      <c r="E257" s="475"/>
      <c r="F257" s="431" t="s">
        <v>1232</v>
      </c>
      <c r="G257" s="476" t="s">
        <v>1233</v>
      </c>
      <c r="H257" s="477" t="s">
        <v>609</v>
      </c>
      <c r="I257" s="477" t="s">
        <v>610</v>
      </c>
      <c r="J257" s="478" t="s">
        <v>610</v>
      </c>
      <c r="K257" s="473">
        <v>1</v>
      </c>
      <c r="L257" s="431">
        <v>2</v>
      </c>
      <c r="M257" s="475">
        <v>9000</v>
      </c>
      <c r="N257" s="473">
        <v>0</v>
      </c>
      <c r="O257" s="431">
        <v>0</v>
      </c>
      <c r="P257" s="475">
        <v>0</v>
      </c>
    </row>
    <row r="258" spans="1:16" ht="24" x14ac:dyDescent="0.2">
      <c r="A258" s="431" t="s">
        <v>539</v>
      </c>
      <c r="B258" s="473" t="s">
        <v>540</v>
      </c>
      <c r="C258" s="431" t="s">
        <v>541</v>
      </c>
      <c r="D258" s="474" t="s">
        <v>904</v>
      </c>
      <c r="E258" s="475"/>
      <c r="F258" s="431" t="s">
        <v>1234</v>
      </c>
      <c r="G258" s="476" t="s">
        <v>1235</v>
      </c>
      <c r="H258" s="477" t="s">
        <v>550</v>
      </c>
      <c r="I258" s="477" t="s">
        <v>550</v>
      </c>
      <c r="J258" s="478" t="s">
        <v>550</v>
      </c>
      <c r="K258" s="473">
        <v>1</v>
      </c>
      <c r="L258" s="431">
        <v>1</v>
      </c>
      <c r="M258" s="475">
        <v>2000</v>
      </c>
      <c r="N258" s="473">
        <v>0</v>
      </c>
      <c r="O258" s="431">
        <v>0</v>
      </c>
      <c r="P258" s="475">
        <v>0</v>
      </c>
    </row>
    <row r="259" spans="1:16" ht="24" x14ac:dyDescent="0.2">
      <c r="A259" s="431" t="s">
        <v>539</v>
      </c>
      <c r="B259" s="473" t="s">
        <v>540</v>
      </c>
      <c r="C259" s="431" t="s">
        <v>541</v>
      </c>
      <c r="D259" s="474" t="s">
        <v>613</v>
      </c>
      <c r="E259" s="475"/>
      <c r="F259" s="431" t="s">
        <v>1236</v>
      </c>
      <c r="G259" s="476" t="s">
        <v>1237</v>
      </c>
      <c r="H259" s="477" t="s">
        <v>550</v>
      </c>
      <c r="I259" s="477" t="s">
        <v>550</v>
      </c>
      <c r="J259" s="478" t="s">
        <v>550</v>
      </c>
      <c r="K259" s="473">
        <v>1</v>
      </c>
      <c r="L259" s="431">
        <v>4</v>
      </c>
      <c r="M259" s="475">
        <v>8866.67</v>
      </c>
      <c r="N259" s="473">
        <v>0</v>
      </c>
      <c r="O259" s="431">
        <v>0</v>
      </c>
      <c r="P259" s="475">
        <v>0</v>
      </c>
    </row>
    <row r="260" spans="1:16" ht="24" x14ac:dyDescent="0.2">
      <c r="A260" s="431" t="s">
        <v>539</v>
      </c>
      <c r="B260" s="473" t="s">
        <v>540</v>
      </c>
      <c r="C260" s="431" t="s">
        <v>541</v>
      </c>
      <c r="D260" s="474" t="s">
        <v>542</v>
      </c>
      <c r="E260" s="475"/>
      <c r="F260" s="431" t="s">
        <v>1238</v>
      </c>
      <c r="G260" s="476" t="s">
        <v>1239</v>
      </c>
      <c r="H260" s="477" t="s">
        <v>673</v>
      </c>
      <c r="I260" s="477" t="s">
        <v>610</v>
      </c>
      <c r="J260" s="478" t="s">
        <v>610</v>
      </c>
      <c r="K260" s="473">
        <v>1</v>
      </c>
      <c r="L260" s="431">
        <v>6</v>
      </c>
      <c r="M260" s="475">
        <v>18000</v>
      </c>
      <c r="N260" s="473">
        <v>0</v>
      </c>
      <c r="O260" s="431">
        <v>0</v>
      </c>
      <c r="P260" s="475">
        <v>0</v>
      </c>
    </row>
    <row r="261" spans="1:16" ht="36" x14ac:dyDescent="0.2">
      <c r="A261" s="431" t="s">
        <v>539</v>
      </c>
      <c r="B261" s="473" t="s">
        <v>540</v>
      </c>
      <c r="C261" s="431" t="s">
        <v>541</v>
      </c>
      <c r="D261" s="474" t="s">
        <v>1240</v>
      </c>
      <c r="E261" s="475"/>
      <c r="F261" s="431" t="s">
        <v>1241</v>
      </c>
      <c r="G261" s="476" t="s">
        <v>1242</v>
      </c>
      <c r="H261" s="477" t="s">
        <v>1243</v>
      </c>
      <c r="I261" s="477" t="s">
        <v>610</v>
      </c>
      <c r="J261" s="478" t="s">
        <v>610</v>
      </c>
      <c r="K261" s="473">
        <v>1</v>
      </c>
      <c r="L261" s="431">
        <v>1</v>
      </c>
      <c r="M261" s="475">
        <v>1050</v>
      </c>
      <c r="N261" s="473">
        <v>0</v>
      </c>
      <c r="O261" s="431">
        <v>0</v>
      </c>
      <c r="P261" s="475">
        <v>0</v>
      </c>
    </row>
    <row r="262" spans="1:16" ht="24" x14ac:dyDescent="0.2">
      <c r="A262" s="431" t="s">
        <v>539</v>
      </c>
      <c r="B262" s="473" t="s">
        <v>540</v>
      </c>
      <c r="C262" s="431" t="s">
        <v>541</v>
      </c>
      <c r="D262" s="474" t="s">
        <v>1244</v>
      </c>
      <c r="E262" s="475"/>
      <c r="F262" s="431" t="s">
        <v>1245</v>
      </c>
      <c r="G262" s="476" t="s">
        <v>1246</v>
      </c>
      <c r="H262" s="477" t="s">
        <v>550</v>
      </c>
      <c r="I262" s="477" t="s">
        <v>550</v>
      </c>
      <c r="J262" s="478" t="s">
        <v>550</v>
      </c>
      <c r="K262" s="473">
        <v>1</v>
      </c>
      <c r="L262" s="431">
        <v>3</v>
      </c>
      <c r="M262" s="475">
        <v>8400</v>
      </c>
      <c r="N262" s="473">
        <v>0</v>
      </c>
      <c r="O262" s="431">
        <v>0</v>
      </c>
      <c r="P262" s="475">
        <v>0</v>
      </c>
    </row>
    <row r="263" spans="1:16" x14ac:dyDescent="0.2">
      <c r="A263" s="431" t="s">
        <v>539</v>
      </c>
      <c r="B263" s="473" t="s">
        <v>540</v>
      </c>
      <c r="C263" s="431" t="s">
        <v>541</v>
      </c>
      <c r="D263" s="474" t="s">
        <v>587</v>
      </c>
      <c r="E263" s="475"/>
      <c r="F263" s="431" t="s">
        <v>1247</v>
      </c>
      <c r="G263" s="476" t="s">
        <v>1248</v>
      </c>
      <c r="H263" s="477" t="s">
        <v>609</v>
      </c>
      <c r="I263" s="477" t="s">
        <v>610</v>
      </c>
      <c r="J263" s="478" t="s">
        <v>610</v>
      </c>
      <c r="K263" s="473">
        <v>1</v>
      </c>
      <c r="L263" s="431">
        <v>7</v>
      </c>
      <c r="M263" s="475">
        <v>14306.67</v>
      </c>
      <c r="N263" s="473">
        <v>0</v>
      </c>
      <c r="O263" s="431">
        <v>0</v>
      </c>
      <c r="P263" s="475">
        <v>0</v>
      </c>
    </row>
    <row r="264" spans="1:16" x14ac:dyDescent="0.2">
      <c r="A264" s="431" t="s">
        <v>539</v>
      </c>
      <c r="B264" s="473" t="s">
        <v>540</v>
      </c>
      <c r="C264" s="431" t="s">
        <v>541</v>
      </c>
      <c r="D264" s="474" t="s">
        <v>609</v>
      </c>
      <c r="E264" s="475"/>
      <c r="F264" s="431" t="s">
        <v>1249</v>
      </c>
      <c r="G264" s="476" t="s">
        <v>1250</v>
      </c>
      <c r="H264" s="477" t="s">
        <v>609</v>
      </c>
      <c r="I264" s="477" t="s">
        <v>610</v>
      </c>
      <c r="J264" s="478" t="s">
        <v>610</v>
      </c>
      <c r="K264" s="473">
        <v>1</v>
      </c>
      <c r="L264" s="431">
        <v>8</v>
      </c>
      <c r="M264" s="475">
        <v>34700</v>
      </c>
      <c r="N264" s="473">
        <v>0</v>
      </c>
      <c r="O264" s="431">
        <v>0</v>
      </c>
      <c r="P264" s="475">
        <v>0</v>
      </c>
    </row>
    <row r="265" spans="1:16" x14ac:dyDescent="0.2">
      <c r="A265" s="431" t="s">
        <v>539</v>
      </c>
      <c r="B265" s="473" t="s">
        <v>540</v>
      </c>
      <c r="C265" s="431" t="s">
        <v>541</v>
      </c>
      <c r="D265" s="474" t="s">
        <v>587</v>
      </c>
      <c r="E265" s="475"/>
      <c r="F265" s="431" t="s">
        <v>1251</v>
      </c>
      <c r="G265" s="476" t="s">
        <v>1252</v>
      </c>
      <c r="H265" s="477" t="s">
        <v>606</v>
      </c>
      <c r="I265" s="477" t="s">
        <v>546</v>
      </c>
      <c r="J265" s="477" t="s">
        <v>546</v>
      </c>
      <c r="K265" s="473">
        <v>1</v>
      </c>
      <c r="L265" s="431">
        <v>2</v>
      </c>
      <c r="M265" s="475">
        <v>2913.33</v>
      </c>
      <c r="N265" s="473">
        <v>0</v>
      </c>
      <c r="O265" s="431">
        <v>0</v>
      </c>
      <c r="P265" s="475">
        <v>0</v>
      </c>
    </row>
    <row r="266" spans="1:16" ht="36" x14ac:dyDescent="0.2">
      <c r="A266" s="431" t="s">
        <v>539</v>
      </c>
      <c r="B266" s="473" t="s">
        <v>540</v>
      </c>
      <c r="C266" s="431" t="s">
        <v>541</v>
      </c>
      <c r="D266" s="474" t="s">
        <v>1253</v>
      </c>
      <c r="E266" s="475"/>
      <c r="F266" s="431" t="s">
        <v>1254</v>
      </c>
      <c r="G266" s="476" t="s">
        <v>1255</v>
      </c>
      <c r="H266" s="477" t="s">
        <v>738</v>
      </c>
      <c r="I266" s="477" t="s">
        <v>610</v>
      </c>
      <c r="J266" s="478" t="s">
        <v>610</v>
      </c>
      <c r="K266" s="473">
        <v>1</v>
      </c>
      <c r="L266" s="431">
        <v>2</v>
      </c>
      <c r="M266" s="475">
        <v>5700</v>
      </c>
      <c r="N266" s="473">
        <v>0</v>
      </c>
      <c r="O266" s="431">
        <v>0</v>
      </c>
      <c r="P266" s="475">
        <v>0</v>
      </c>
    </row>
    <row r="267" spans="1:16" ht="36" x14ac:dyDescent="0.2">
      <c r="A267" s="431" t="s">
        <v>539</v>
      </c>
      <c r="B267" s="473" t="s">
        <v>540</v>
      </c>
      <c r="C267" s="431" t="s">
        <v>541</v>
      </c>
      <c r="D267" s="474" t="s">
        <v>1256</v>
      </c>
      <c r="E267" s="475"/>
      <c r="F267" s="431" t="s">
        <v>1257</v>
      </c>
      <c r="G267" s="476" t="s">
        <v>1258</v>
      </c>
      <c r="H267" s="477" t="s">
        <v>796</v>
      </c>
      <c r="I267" s="477" t="s">
        <v>580</v>
      </c>
      <c r="J267" s="478" t="s">
        <v>580</v>
      </c>
      <c r="K267" s="473">
        <v>1</v>
      </c>
      <c r="L267" s="431">
        <v>1</v>
      </c>
      <c r="M267" s="475">
        <v>2986.67</v>
      </c>
      <c r="N267" s="473">
        <v>0</v>
      </c>
      <c r="O267" s="431">
        <v>0</v>
      </c>
      <c r="P267" s="475">
        <v>0</v>
      </c>
    </row>
    <row r="268" spans="1:16" x14ac:dyDescent="0.2">
      <c r="A268" s="431" t="s">
        <v>539</v>
      </c>
      <c r="B268" s="473" t="s">
        <v>540</v>
      </c>
      <c r="C268" s="431" t="s">
        <v>541</v>
      </c>
      <c r="D268" s="474" t="s">
        <v>576</v>
      </c>
      <c r="E268" s="475"/>
      <c r="F268" s="431" t="s">
        <v>1259</v>
      </c>
      <c r="G268" s="476" t="s">
        <v>1260</v>
      </c>
      <c r="H268" s="477" t="s">
        <v>673</v>
      </c>
      <c r="I268" s="477" t="s">
        <v>610</v>
      </c>
      <c r="J268" s="478" t="s">
        <v>610</v>
      </c>
      <c r="K268" s="473">
        <v>1</v>
      </c>
      <c r="L268" s="431">
        <v>4</v>
      </c>
      <c r="M268" s="475">
        <v>3872</v>
      </c>
      <c r="N268" s="473">
        <v>0</v>
      </c>
      <c r="O268" s="431">
        <v>0</v>
      </c>
      <c r="P268" s="475">
        <v>0</v>
      </c>
    </row>
    <row r="269" spans="1:16" x14ac:dyDescent="0.2">
      <c r="A269" s="431" t="s">
        <v>539</v>
      </c>
      <c r="B269" s="473" t="s">
        <v>540</v>
      </c>
      <c r="C269" s="431" t="s">
        <v>541</v>
      </c>
      <c r="D269" s="474" t="s">
        <v>576</v>
      </c>
      <c r="E269" s="475"/>
      <c r="F269" s="431" t="s">
        <v>1261</v>
      </c>
      <c r="G269" s="476" t="s">
        <v>1262</v>
      </c>
      <c r="H269" s="477" t="s">
        <v>550</v>
      </c>
      <c r="I269" s="477" t="s">
        <v>550</v>
      </c>
      <c r="J269" s="478" t="s">
        <v>550</v>
      </c>
      <c r="K269" s="473">
        <v>1</v>
      </c>
      <c r="L269" s="431">
        <v>3</v>
      </c>
      <c r="M269" s="475">
        <v>5550</v>
      </c>
      <c r="N269" s="473">
        <v>0</v>
      </c>
      <c r="O269" s="431">
        <v>0</v>
      </c>
      <c r="P269" s="475">
        <v>0</v>
      </c>
    </row>
    <row r="270" spans="1:16" ht="24" x14ac:dyDescent="0.2">
      <c r="A270" s="431" t="s">
        <v>539</v>
      </c>
      <c r="B270" s="473" t="s">
        <v>540</v>
      </c>
      <c r="C270" s="431" t="s">
        <v>541</v>
      </c>
      <c r="D270" s="474" t="s">
        <v>1263</v>
      </c>
      <c r="E270" s="475"/>
      <c r="F270" s="431" t="s">
        <v>1264</v>
      </c>
      <c r="G270" s="476" t="s">
        <v>1265</v>
      </c>
      <c r="H270" s="477" t="s">
        <v>550</v>
      </c>
      <c r="I270" s="477" t="s">
        <v>550</v>
      </c>
      <c r="J270" s="478" t="s">
        <v>550</v>
      </c>
      <c r="K270" s="473">
        <v>1</v>
      </c>
      <c r="L270" s="431">
        <v>3</v>
      </c>
      <c r="M270" s="475">
        <v>6000</v>
      </c>
      <c r="N270" s="473">
        <v>0</v>
      </c>
      <c r="O270" s="431">
        <v>0</v>
      </c>
      <c r="P270" s="475">
        <v>0</v>
      </c>
    </row>
    <row r="271" spans="1:16" ht="96" x14ac:dyDescent="0.2">
      <c r="A271" s="431" t="s">
        <v>539</v>
      </c>
      <c r="B271" s="473" t="s">
        <v>540</v>
      </c>
      <c r="C271" s="431" t="s">
        <v>541</v>
      </c>
      <c r="D271" s="474" t="s">
        <v>1266</v>
      </c>
      <c r="E271" s="475"/>
      <c r="F271" s="431" t="s">
        <v>1267</v>
      </c>
      <c r="G271" s="476" t="s">
        <v>1268</v>
      </c>
      <c r="H271" s="477" t="s">
        <v>550</v>
      </c>
      <c r="I271" s="477" t="s">
        <v>550</v>
      </c>
      <c r="J271" s="478" t="s">
        <v>550</v>
      </c>
      <c r="K271" s="473">
        <v>1</v>
      </c>
      <c r="L271" s="431">
        <v>3</v>
      </c>
      <c r="M271" s="475">
        <v>9000</v>
      </c>
      <c r="N271" s="473">
        <v>0</v>
      </c>
      <c r="O271" s="431">
        <v>0</v>
      </c>
      <c r="P271" s="475">
        <v>0</v>
      </c>
    </row>
    <row r="272" spans="1:16" ht="24" x14ac:dyDescent="0.2">
      <c r="A272" s="431" t="s">
        <v>539</v>
      </c>
      <c r="B272" s="473" t="s">
        <v>540</v>
      </c>
      <c r="C272" s="431" t="s">
        <v>541</v>
      </c>
      <c r="D272" s="474" t="s">
        <v>613</v>
      </c>
      <c r="E272" s="475"/>
      <c r="F272" s="431" t="s">
        <v>1269</v>
      </c>
      <c r="G272" s="476" t="s">
        <v>1270</v>
      </c>
      <c r="H272" s="477" t="s">
        <v>550</v>
      </c>
      <c r="I272" s="477" t="s">
        <v>550</v>
      </c>
      <c r="J272" s="478" t="s">
        <v>550</v>
      </c>
      <c r="K272" s="473">
        <v>1</v>
      </c>
      <c r="L272" s="431">
        <v>5</v>
      </c>
      <c r="M272" s="475">
        <v>15000</v>
      </c>
      <c r="N272" s="473">
        <v>0</v>
      </c>
      <c r="O272" s="431">
        <v>0</v>
      </c>
      <c r="P272" s="475">
        <v>0</v>
      </c>
    </row>
    <row r="273" spans="1:16" ht="12.75" thickBot="1" x14ac:dyDescent="0.25">
      <c r="A273" s="431" t="s">
        <v>539</v>
      </c>
      <c r="B273" s="473" t="s">
        <v>540</v>
      </c>
      <c r="C273" s="431" t="s">
        <v>541</v>
      </c>
      <c r="D273" s="474"/>
      <c r="E273" s="475"/>
      <c r="F273" s="431" t="s">
        <v>1271</v>
      </c>
      <c r="G273" s="476" t="s">
        <v>1272</v>
      </c>
      <c r="H273" s="477" t="s">
        <v>550</v>
      </c>
      <c r="I273" s="477" t="s">
        <v>550</v>
      </c>
      <c r="J273" s="478" t="s">
        <v>550</v>
      </c>
      <c r="K273" s="473">
        <v>1</v>
      </c>
      <c r="L273" s="431">
        <v>1</v>
      </c>
      <c r="M273" s="475">
        <v>3733.33</v>
      </c>
      <c r="N273" s="473">
        <v>0</v>
      </c>
      <c r="O273" s="431">
        <v>0</v>
      </c>
      <c r="P273" s="475">
        <v>0</v>
      </c>
    </row>
    <row r="274" spans="1:16" ht="12.75" thickBot="1" x14ac:dyDescent="0.25">
      <c r="A274" s="93"/>
      <c r="B274" s="95"/>
      <c r="C274" s="95"/>
      <c r="D274" s="479"/>
      <c r="E274" s="19"/>
      <c r="F274" s="95"/>
      <c r="G274" s="67"/>
      <c r="H274" s="67"/>
      <c r="I274" s="67"/>
      <c r="J274" s="67"/>
      <c r="K274" s="480"/>
      <c r="L274" s="134"/>
      <c r="M274" s="481">
        <f>SUM(M6:M273)</f>
        <v>4988313.41</v>
      </c>
      <c r="N274" s="480"/>
      <c r="O274" s="134"/>
      <c r="P274" s="481">
        <f>SUM(P6:P273)</f>
        <v>3181454.33</v>
      </c>
    </row>
    <row r="275" spans="1:16" x14ac:dyDescent="0.2">
      <c r="A275" s="162" t="s">
        <v>412</v>
      </c>
      <c r="B275" s="162"/>
      <c r="C275" s="162"/>
      <c r="D275" s="482"/>
      <c r="E275" s="162"/>
      <c r="F275" s="162"/>
      <c r="G275" s="162"/>
      <c r="H275" s="87"/>
      <c r="I275" s="87"/>
      <c r="J275" s="87"/>
      <c r="K275" s="483"/>
      <c r="L275" s="162"/>
      <c r="M275" s="162"/>
      <c r="N275" s="483"/>
      <c r="O275" s="162"/>
      <c r="P275" s="162"/>
    </row>
    <row r="279" spans="1:16" x14ac:dyDescent="0.2">
      <c r="A279" s="173" t="s">
        <v>460</v>
      </c>
      <c r="B279" s="490"/>
      <c r="C279" s="490"/>
      <c r="D279" s="490"/>
      <c r="E279" s="490"/>
      <c r="F279" s="490"/>
      <c r="G279" s="490"/>
      <c r="H279" s="490"/>
      <c r="I279" s="490"/>
      <c r="J279" s="490"/>
      <c r="K279" s="490"/>
      <c r="L279" s="490"/>
      <c r="M279" s="490"/>
      <c r="N279" s="490"/>
      <c r="O279" s="490"/>
      <c r="P279" s="490"/>
    </row>
    <row r="280" spans="1:16" ht="12.75" thickBot="1" x14ac:dyDescent="0.25">
      <c r="A280" s="710" t="s">
        <v>2085</v>
      </c>
      <c r="B280" s="162"/>
      <c r="C280" s="162"/>
      <c r="D280" s="162"/>
      <c r="E280" s="162"/>
      <c r="F280" s="162"/>
      <c r="G280" s="162"/>
      <c r="H280" s="162"/>
      <c r="I280" s="162"/>
      <c r="J280" s="162"/>
      <c r="M280" s="162"/>
      <c r="N280" s="162"/>
      <c r="O280" s="162"/>
      <c r="P280" s="162"/>
    </row>
    <row r="281" spans="1:16" ht="12.75" thickBot="1" x14ac:dyDescent="0.25">
      <c r="A281" s="1534" t="s">
        <v>147</v>
      </c>
      <c r="B281" s="1535"/>
      <c r="C281" s="1535"/>
      <c r="D281" s="1535"/>
      <c r="E281" s="1536"/>
      <c r="F281" s="1537" t="s">
        <v>148</v>
      </c>
      <c r="G281" s="1538"/>
      <c r="H281" s="1539"/>
      <c r="I281" s="1539"/>
      <c r="J281" s="1540"/>
      <c r="K281" s="1531" t="s">
        <v>1637</v>
      </c>
      <c r="L281" s="1532"/>
      <c r="M281" s="1533"/>
      <c r="N281" s="1531" t="s">
        <v>1638</v>
      </c>
      <c r="O281" s="1532"/>
      <c r="P281" s="1533"/>
    </row>
    <row r="282" spans="1:16" ht="99" thickBot="1" x14ac:dyDescent="0.25">
      <c r="A282" s="701" t="s">
        <v>105</v>
      </c>
      <c r="B282" s="267" t="s">
        <v>8</v>
      </c>
      <c r="C282" s="267" t="s">
        <v>102</v>
      </c>
      <c r="D282" s="512" t="s">
        <v>106</v>
      </c>
      <c r="E282" s="513" t="s">
        <v>128</v>
      </c>
      <c r="F282" s="511" t="s">
        <v>135</v>
      </c>
      <c r="G282" s="512" t="s">
        <v>136</v>
      </c>
      <c r="H282" s="512" t="s">
        <v>150</v>
      </c>
      <c r="I282" s="267" t="s">
        <v>151</v>
      </c>
      <c r="J282" s="510" t="s">
        <v>140</v>
      </c>
      <c r="K282" s="271" t="s">
        <v>137</v>
      </c>
      <c r="L282" s="272" t="s">
        <v>138</v>
      </c>
      <c r="M282" s="273" t="s">
        <v>139</v>
      </c>
      <c r="N282" s="271" t="s">
        <v>137</v>
      </c>
      <c r="O282" s="272" t="s">
        <v>138</v>
      </c>
      <c r="P282" s="273" t="s">
        <v>139</v>
      </c>
    </row>
    <row r="283" spans="1:16" ht="24" x14ac:dyDescent="0.2">
      <c r="A283" s="702">
        <v>1316</v>
      </c>
      <c r="B283" s="211" t="s">
        <v>1639</v>
      </c>
      <c r="C283" s="514" t="s">
        <v>1444</v>
      </c>
      <c r="D283" s="703" t="s">
        <v>1640</v>
      </c>
      <c r="E283" s="704">
        <v>2300</v>
      </c>
      <c r="F283" s="705" t="s">
        <v>1641</v>
      </c>
      <c r="G283" s="706" t="s">
        <v>1642</v>
      </c>
      <c r="H283" s="707" t="s">
        <v>1643</v>
      </c>
      <c r="I283" s="211" t="s">
        <v>1644</v>
      </c>
      <c r="J283" s="211" t="s">
        <v>1645</v>
      </c>
      <c r="K283" s="514">
        <v>3</v>
      </c>
      <c r="L283" s="514">
        <v>12</v>
      </c>
      <c r="M283" s="708">
        <f t="shared" ref="M283:M318" si="0">L283*E283</f>
        <v>27600</v>
      </c>
      <c r="N283" s="709">
        <v>2</v>
      </c>
      <c r="O283" s="709">
        <v>6</v>
      </c>
      <c r="P283" s="708">
        <f t="shared" ref="P283:P346" si="1">O283*E283</f>
        <v>13800</v>
      </c>
    </row>
    <row r="284" spans="1:16" ht="24" x14ac:dyDescent="0.2">
      <c r="A284" s="702">
        <v>1316</v>
      </c>
      <c r="B284" s="211" t="s">
        <v>1639</v>
      </c>
      <c r="C284" s="514" t="s">
        <v>1444</v>
      </c>
      <c r="D284" s="703" t="s">
        <v>1646</v>
      </c>
      <c r="E284" s="704">
        <v>3200</v>
      </c>
      <c r="F284" s="705" t="s">
        <v>1647</v>
      </c>
      <c r="G284" s="706" t="s">
        <v>1648</v>
      </c>
      <c r="H284" s="707" t="s">
        <v>887</v>
      </c>
      <c r="I284" s="211" t="s">
        <v>1644</v>
      </c>
      <c r="J284" s="211" t="s">
        <v>1645</v>
      </c>
      <c r="K284" s="514">
        <v>1</v>
      </c>
      <c r="L284" s="514">
        <v>2</v>
      </c>
      <c r="M284" s="708">
        <f t="shared" si="0"/>
        <v>6400</v>
      </c>
      <c r="N284" s="709">
        <v>2</v>
      </c>
      <c r="O284" s="709">
        <v>6</v>
      </c>
      <c r="P284" s="708">
        <f t="shared" si="1"/>
        <v>19200</v>
      </c>
    </row>
    <row r="285" spans="1:16" ht="24" x14ac:dyDescent="0.2">
      <c r="A285" s="702">
        <v>1316</v>
      </c>
      <c r="B285" s="211" t="s">
        <v>1639</v>
      </c>
      <c r="C285" s="514" t="s">
        <v>1444</v>
      </c>
      <c r="D285" s="703" t="s">
        <v>1640</v>
      </c>
      <c r="E285" s="704">
        <v>2300</v>
      </c>
      <c r="F285" s="705" t="s">
        <v>1649</v>
      </c>
      <c r="G285" s="706" t="s">
        <v>1650</v>
      </c>
      <c r="H285" s="707" t="s">
        <v>1643</v>
      </c>
      <c r="I285" s="211" t="s">
        <v>1644</v>
      </c>
      <c r="J285" s="211" t="s">
        <v>1645</v>
      </c>
      <c r="K285" s="514">
        <v>3</v>
      </c>
      <c r="L285" s="514">
        <v>12</v>
      </c>
      <c r="M285" s="708">
        <f t="shared" si="0"/>
        <v>27600</v>
      </c>
      <c r="N285" s="709">
        <v>2</v>
      </c>
      <c r="O285" s="709">
        <v>6</v>
      </c>
      <c r="P285" s="708">
        <f t="shared" si="1"/>
        <v>13800</v>
      </c>
    </row>
    <row r="286" spans="1:16" ht="24" x14ac:dyDescent="0.2">
      <c r="A286" s="702">
        <v>1316</v>
      </c>
      <c r="B286" s="211" t="s">
        <v>1639</v>
      </c>
      <c r="C286" s="514" t="s">
        <v>1444</v>
      </c>
      <c r="D286" s="703" t="s">
        <v>1651</v>
      </c>
      <c r="E286" s="704">
        <v>1300</v>
      </c>
      <c r="F286" s="705" t="s">
        <v>1652</v>
      </c>
      <c r="G286" s="706" t="s">
        <v>1653</v>
      </c>
      <c r="H286" s="703" t="s">
        <v>1651</v>
      </c>
      <c r="I286" s="211" t="s">
        <v>1654</v>
      </c>
      <c r="J286" s="211" t="s">
        <v>1655</v>
      </c>
      <c r="K286" s="514">
        <v>3</v>
      </c>
      <c r="L286" s="514">
        <v>12</v>
      </c>
      <c r="M286" s="708">
        <f t="shared" si="0"/>
        <v>15600</v>
      </c>
      <c r="N286" s="709">
        <v>2</v>
      </c>
      <c r="O286" s="709">
        <v>6</v>
      </c>
      <c r="P286" s="708">
        <f t="shared" si="1"/>
        <v>7800</v>
      </c>
    </row>
    <row r="287" spans="1:16" ht="24" x14ac:dyDescent="0.2">
      <c r="A287" s="702">
        <v>1316</v>
      </c>
      <c r="B287" s="211" t="s">
        <v>1639</v>
      </c>
      <c r="C287" s="514" t="s">
        <v>1444</v>
      </c>
      <c r="D287" s="703" t="s">
        <v>1656</v>
      </c>
      <c r="E287" s="704">
        <v>1300</v>
      </c>
      <c r="F287" s="705" t="s">
        <v>1657</v>
      </c>
      <c r="G287" s="706" t="s">
        <v>1658</v>
      </c>
      <c r="H287" s="703" t="s">
        <v>1656</v>
      </c>
      <c r="I287" s="211" t="s">
        <v>1654</v>
      </c>
      <c r="J287" s="211" t="s">
        <v>1655</v>
      </c>
      <c r="K287" s="514">
        <v>3</v>
      </c>
      <c r="L287" s="514">
        <v>12</v>
      </c>
      <c r="M287" s="708">
        <f t="shared" si="0"/>
        <v>15600</v>
      </c>
      <c r="N287" s="709">
        <v>2</v>
      </c>
      <c r="O287" s="709">
        <v>6</v>
      </c>
      <c r="P287" s="708">
        <f t="shared" si="1"/>
        <v>7800</v>
      </c>
    </row>
    <row r="288" spans="1:16" ht="36" x14ac:dyDescent="0.2">
      <c r="A288" s="702">
        <v>1316</v>
      </c>
      <c r="B288" s="211" t="s">
        <v>1639</v>
      </c>
      <c r="C288" s="514" t="s">
        <v>1444</v>
      </c>
      <c r="D288" s="703" t="s">
        <v>1659</v>
      </c>
      <c r="E288" s="704">
        <v>1000</v>
      </c>
      <c r="F288" s="705" t="s">
        <v>1660</v>
      </c>
      <c r="G288" s="706" t="s">
        <v>1661</v>
      </c>
      <c r="H288" s="703" t="s">
        <v>1659</v>
      </c>
      <c r="I288" s="211" t="s">
        <v>1662</v>
      </c>
      <c r="J288" s="211" t="s">
        <v>1663</v>
      </c>
      <c r="K288" s="514">
        <v>3</v>
      </c>
      <c r="L288" s="514">
        <v>12</v>
      </c>
      <c r="M288" s="708">
        <f t="shared" si="0"/>
        <v>12000</v>
      </c>
      <c r="N288" s="709">
        <v>2</v>
      </c>
      <c r="O288" s="709">
        <v>6</v>
      </c>
      <c r="P288" s="708">
        <f t="shared" si="1"/>
        <v>6000</v>
      </c>
    </row>
    <row r="289" spans="1:16" ht="36" x14ac:dyDescent="0.2">
      <c r="A289" s="702">
        <v>1316</v>
      </c>
      <c r="B289" s="211" t="s">
        <v>1639</v>
      </c>
      <c r="C289" s="514" t="s">
        <v>1444</v>
      </c>
      <c r="D289" s="707" t="s">
        <v>1659</v>
      </c>
      <c r="E289" s="704">
        <v>1000</v>
      </c>
      <c r="F289" s="705" t="s">
        <v>1664</v>
      </c>
      <c r="G289" s="706" t="s">
        <v>1665</v>
      </c>
      <c r="H289" s="707" t="s">
        <v>1659</v>
      </c>
      <c r="I289" s="211" t="s">
        <v>1662</v>
      </c>
      <c r="J289" s="211" t="s">
        <v>1663</v>
      </c>
      <c r="K289" s="514">
        <v>3</v>
      </c>
      <c r="L289" s="514">
        <v>12</v>
      </c>
      <c r="M289" s="708">
        <f t="shared" si="0"/>
        <v>12000</v>
      </c>
      <c r="N289" s="709">
        <v>2</v>
      </c>
      <c r="O289" s="709">
        <v>6</v>
      </c>
      <c r="P289" s="708">
        <f t="shared" si="1"/>
        <v>6000</v>
      </c>
    </row>
    <row r="290" spans="1:16" ht="24" x14ac:dyDescent="0.2">
      <c r="A290" s="702">
        <v>1316</v>
      </c>
      <c r="B290" s="211" t="s">
        <v>1639</v>
      </c>
      <c r="C290" s="514" t="s">
        <v>1444</v>
      </c>
      <c r="D290" s="703" t="s">
        <v>1666</v>
      </c>
      <c r="E290" s="704">
        <v>2000</v>
      </c>
      <c r="F290" s="705" t="s">
        <v>1667</v>
      </c>
      <c r="G290" s="706" t="s">
        <v>1668</v>
      </c>
      <c r="H290" s="703" t="s">
        <v>1666</v>
      </c>
      <c r="I290" s="211" t="s">
        <v>1644</v>
      </c>
      <c r="J290" s="211" t="s">
        <v>1645</v>
      </c>
      <c r="K290" s="514">
        <v>3</v>
      </c>
      <c r="L290" s="514">
        <v>12</v>
      </c>
      <c r="M290" s="708">
        <f t="shared" si="0"/>
        <v>24000</v>
      </c>
      <c r="N290" s="709">
        <v>2</v>
      </c>
      <c r="O290" s="709">
        <v>6</v>
      </c>
      <c r="P290" s="708">
        <f t="shared" si="1"/>
        <v>12000</v>
      </c>
    </row>
    <row r="291" spans="1:16" ht="24" x14ac:dyDescent="0.2">
      <c r="A291" s="702">
        <v>1316</v>
      </c>
      <c r="B291" s="211" t="s">
        <v>1639</v>
      </c>
      <c r="C291" s="514" t="s">
        <v>1444</v>
      </c>
      <c r="D291" s="707" t="s">
        <v>947</v>
      </c>
      <c r="E291" s="704">
        <v>2000</v>
      </c>
      <c r="F291" s="705" t="s">
        <v>1669</v>
      </c>
      <c r="G291" s="706" t="s">
        <v>1670</v>
      </c>
      <c r="H291" s="707" t="s">
        <v>947</v>
      </c>
      <c r="I291" s="211" t="s">
        <v>1644</v>
      </c>
      <c r="J291" s="211" t="s">
        <v>1645</v>
      </c>
      <c r="K291" s="514">
        <v>1</v>
      </c>
      <c r="L291" s="514">
        <v>2</v>
      </c>
      <c r="M291" s="708">
        <f t="shared" si="0"/>
        <v>4000</v>
      </c>
      <c r="N291" s="709">
        <v>2</v>
      </c>
      <c r="O291" s="709">
        <v>6</v>
      </c>
      <c r="P291" s="708">
        <f t="shared" si="1"/>
        <v>12000</v>
      </c>
    </row>
    <row r="292" spans="1:16" ht="24" x14ac:dyDescent="0.2">
      <c r="A292" s="702">
        <v>1316</v>
      </c>
      <c r="B292" s="211" t="s">
        <v>1639</v>
      </c>
      <c r="C292" s="514" t="s">
        <v>1444</v>
      </c>
      <c r="D292" s="703" t="s">
        <v>1640</v>
      </c>
      <c r="E292" s="704">
        <v>2689</v>
      </c>
      <c r="F292" s="705" t="s">
        <v>1671</v>
      </c>
      <c r="G292" s="706" t="s">
        <v>1672</v>
      </c>
      <c r="H292" s="707" t="s">
        <v>1643</v>
      </c>
      <c r="I292" s="211" t="s">
        <v>1644</v>
      </c>
      <c r="J292" s="211" t="s">
        <v>1645</v>
      </c>
      <c r="K292" s="514">
        <v>3</v>
      </c>
      <c r="L292" s="514">
        <v>12</v>
      </c>
      <c r="M292" s="708">
        <f t="shared" si="0"/>
        <v>32268</v>
      </c>
      <c r="N292" s="709">
        <v>2</v>
      </c>
      <c r="O292" s="709">
        <v>6</v>
      </c>
      <c r="P292" s="708">
        <f t="shared" si="1"/>
        <v>16134</v>
      </c>
    </row>
    <row r="293" spans="1:16" ht="24" x14ac:dyDescent="0.2">
      <c r="A293" s="702">
        <v>1316</v>
      </c>
      <c r="B293" s="211" t="s">
        <v>1639</v>
      </c>
      <c r="C293" s="514" t="s">
        <v>1444</v>
      </c>
      <c r="D293" s="707" t="s">
        <v>1673</v>
      </c>
      <c r="E293" s="704">
        <v>2300</v>
      </c>
      <c r="F293" s="705" t="s">
        <v>1674</v>
      </c>
      <c r="G293" s="706" t="s">
        <v>1675</v>
      </c>
      <c r="H293" s="707" t="s">
        <v>1676</v>
      </c>
      <c r="I293" s="211" t="s">
        <v>1644</v>
      </c>
      <c r="J293" s="211" t="s">
        <v>1645</v>
      </c>
      <c r="K293" s="514">
        <v>3</v>
      </c>
      <c r="L293" s="514">
        <v>12</v>
      </c>
      <c r="M293" s="708">
        <f t="shared" si="0"/>
        <v>27600</v>
      </c>
      <c r="N293" s="709">
        <v>2</v>
      </c>
      <c r="O293" s="709">
        <v>6</v>
      </c>
      <c r="P293" s="708">
        <f t="shared" si="1"/>
        <v>13800</v>
      </c>
    </row>
    <row r="294" spans="1:16" ht="24" x14ac:dyDescent="0.2">
      <c r="A294" s="702">
        <v>1316</v>
      </c>
      <c r="B294" s="211" t="s">
        <v>1639</v>
      </c>
      <c r="C294" s="514" t="s">
        <v>1444</v>
      </c>
      <c r="D294" s="703" t="s">
        <v>613</v>
      </c>
      <c r="E294" s="704">
        <v>2000</v>
      </c>
      <c r="F294" s="705" t="s">
        <v>1677</v>
      </c>
      <c r="G294" s="706" t="s">
        <v>1678</v>
      </c>
      <c r="H294" s="703" t="s">
        <v>613</v>
      </c>
      <c r="I294" s="211" t="s">
        <v>1654</v>
      </c>
      <c r="J294" s="211" t="s">
        <v>1655</v>
      </c>
      <c r="K294" s="514">
        <v>3</v>
      </c>
      <c r="L294" s="514">
        <v>12</v>
      </c>
      <c r="M294" s="708">
        <f t="shared" si="0"/>
        <v>24000</v>
      </c>
      <c r="N294" s="709">
        <v>2</v>
      </c>
      <c r="O294" s="709">
        <v>6</v>
      </c>
      <c r="P294" s="708">
        <f t="shared" si="1"/>
        <v>12000</v>
      </c>
    </row>
    <row r="295" spans="1:16" ht="24" x14ac:dyDescent="0.2">
      <c r="A295" s="702">
        <v>1316</v>
      </c>
      <c r="B295" s="211" t="s">
        <v>1639</v>
      </c>
      <c r="C295" s="514" t="s">
        <v>1444</v>
      </c>
      <c r="D295" s="703" t="s">
        <v>1640</v>
      </c>
      <c r="E295" s="704">
        <v>2300</v>
      </c>
      <c r="F295" s="705" t="s">
        <v>1679</v>
      </c>
      <c r="G295" s="706" t="s">
        <v>1680</v>
      </c>
      <c r="H295" s="707" t="s">
        <v>1643</v>
      </c>
      <c r="I295" s="211" t="s">
        <v>1644</v>
      </c>
      <c r="J295" s="211" t="s">
        <v>1645</v>
      </c>
      <c r="K295" s="514">
        <v>3</v>
      </c>
      <c r="L295" s="514">
        <v>12</v>
      </c>
      <c r="M295" s="708">
        <f t="shared" si="0"/>
        <v>27600</v>
      </c>
      <c r="N295" s="709">
        <v>2</v>
      </c>
      <c r="O295" s="709">
        <v>6</v>
      </c>
      <c r="P295" s="708">
        <f t="shared" si="1"/>
        <v>13800</v>
      </c>
    </row>
    <row r="296" spans="1:16" ht="24" x14ac:dyDescent="0.2">
      <c r="A296" s="702">
        <v>1316</v>
      </c>
      <c r="B296" s="211" t="s">
        <v>1639</v>
      </c>
      <c r="C296" s="514" t="s">
        <v>1444</v>
      </c>
      <c r="D296" s="707" t="s">
        <v>1651</v>
      </c>
      <c r="E296" s="704">
        <v>1300</v>
      </c>
      <c r="F296" s="705" t="s">
        <v>1681</v>
      </c>
      <c r="G296" s="706" t="s">
        <v>1682</v>
      </c>
      <c r="H296" s="707" t="s">
        <v>1651</v>
      </c>
      <c r="I296" s="211" t="s">
        <v>1654</v>
      </c>
      <c r="J296" s="211" t="s">
        <v>1655</v>
      </c>
      <c r="K296" s="514">
        <v>3</v>
      </c>
      <c r="L296" s="514">
        <v>12</v>
      </c>
      <c r="M296" s="708">
        <f t="shared" si="0"/>
        <v>15600</v>
      </c>
      <c r="N296" s="709">
        <v>2</v>
      </c>
      <c r="O296" s="709">
        <v>6</v>
      </c>
      <c r="P296" s="708">
        <f t="shared" si="1"/>
        <v>7800</v>
      </c>
    </row>
    <row r="297" spans="1:16" ht="24" x14ac:dyDescent="0.2">
      <c r="A297" s="702">
        <v>1316</v>
      </c>
      <c r="B297" s="211" t="s">
        <v>1639</v>
      </c>
      <c r="C297" s="514" t="s">
        <v>1444</v>
      </c>
      <c r="D297" s="707" t="s">
        <v>542</v>
      </c>
      <c r="E297" s="704">
        <v>1700</v>
      </c>
      <c r="F297" s="705" t="s">
        <v>1683</v>
      </c>
      <c r="G297" s="706" t="s">
        <v>1684</v>
      </c>
      <c r="H297" s="707" t="s">
        <v>542</v>
      </c>
      <c r="I297" s="211" t="s">
        <v>1644</v>
      </c>
      <c r="J297" s="211" t="s">
        <v>1645</v>
      </c>
      <c r="K297" s="514">
        <v>3</v>
      </c>
      <c r="L297" s="514">
        <v>12</v>
      </c>
      <c r="M297" s="708">
        <f t="shared" si="0"/>
        <v>20400</v>
      </c>
      <c r="N297" s="709">
        <v>2</v>
      </c>
      <c r="O297" s="709">
        <v>6</v>
      </c>
      <c r="P297" s="708">
        <f t="shared" si="1"/>
        <v>10200</v>
      </c>
    </row>
    <row r="298" spans="1:16" ht="36" x14ac:dyDescent="0.2">
      <c r="A298" s="702">
        <v>1316</v>
      </c>
      <c r="B298" s="211" t="s">
        <v>1639</v>
      </c>
      <c r="C298" s="514" t="s">
        <v>1444</v>
      </c>
      <c r="D298" s="703" t="s">
        <v>1659</v>
      </c>
      <c r="E298" s="704">
        <v>1000</v>
      </c>
      <c r="F298" s="705" t="s">
        <v>1685</v>
      </c>
      <c r="G298" s="706" t="s">
        <v>1686</v>
      </c>
      <c r="H298" s="703" t="s">
        <v>1659</v>
      </c>
      <c r="I298" s="211" t="s">
        <v>1662</v>
      </c>
      <c r="J298" s="211" t="s">
        <v>1663</v>
      </c>
      <c r="K298" s="514">
        <v>3</v>
      </c>
      <c r="L298" s="514">
        <v>12</v>
      </c>
      <c r="M298" s="708">
        <f t="shared" si="0"/>
        <v>12000</v>
      </c>
      <c r="N298" s="709">
        <v>2</v>
      </c>
      <c r="O298" s="709">
        <v>6</v>
      </c>
      <c r="P298" s="708">
        <f t="shared" si="1"/>
        <v>6000</v>
      </c>
    </row>
    <row r="299" spans="1:16" ht="24" x14ac:dyDescent="0.2">
      <c r="A299" s="702">
        <v>1316</v>
      </c>
      <c r="B299" s="211" t="s">
        <v>1639</v>
      </c>
      <c r="C299" s="514" t="s">
        <v>1444</v>
      </c>
      <c r="D299" s="707" t="s">
        <v>1656</v>
      </c>
      <c r="E299" s="704">
        <v>2097</v>
      </c>
      <c r="F299" s="705" t="s">
        <v>1687</v>
      </c>
      <c r="G299" s="706" t="s">
        <v>1688</v>
      </c>
      <c r="H299" s="707" t="s">
        <v>1656</v>
      </c>
      <c r="I299" s="211" t="s">
        <v>1654</v>
      </c>
      <c r="J299" s="211" t="s">
        <v>1655</v>
      </c>
      <c r="K299" s="514">
        <v>2</v>
      </c>
      <c r="L299" s="514">
        <v>6</v>
      </c>
      <c r="M299" s="708">
        <f t="shared" si="0"/>
        <v>12582</v>
      </c>
      <c r="N299" s="709">
        <v>2</v>
      </c>
      <c r="O299" s="709">
        <v>6</v>
      </c>
      <c r="P299" s="708">
        <f t="shared" si="1"/>
        <v>12582</v>
      </c>
    </row>
    <row r="300" spans="1:16" ht="24" x14ac:dyDescent="0.2">
      <c r="A300" s="702">
        <v>1316</v>
      </c>
      <c r="B300" s="211" t="s">
        <v>1639</v>
      </c>
      <c r="C300" s="514" t="s">
        <v>1444</v>
      </c>
      <c r="D300" s="703" t="s">
        <v>1646</v>
      </c>
      <c r="E300" s="704">
        <v>2689</v>
      </c>
      <c r="F300" s="705" t="s">
        <v>1689</v>
      </c>
      <c r="G300" s="706" t="s">
        <v>1690</v>
      </c>
      <c r="H300" s="707" t="s">
        <v>887</v>
      </c>
      <c r="I300" s="211" t="s">
        <v>1644</v>
      </c>
      <c r="J300" s="211" t="s">
        <v>1645</v>
      </c>
      <c r="K300" s="514">
        <v>3</v>
      </c>
      <c r="L300" s="514">
        <v>12</v>
      </c>
      <c r="M300" s="708">
        <f t="shared" si="0"/>
        <v>32268</v>
      </c>
      <c r="N300" s="709">
        <v>2</v>
      </c>
      <c r="O300" s="709">
        <v>6</v>
      </c>
      <c r="P300" s="708">
        <f t="shared" si="1"/>
        <v>16134</v>
      </c>
    </row>
    <row r="301" spans="1:16" ht="24" x14ac:dyDescent="0.2">
      <c r="A301" s="702">
        <v>1316</v>
      </c>
      <c r="B301" s="211" t="s">
        <v>1639</v>
      </c>
      <c r="C301" s="514" t="s">
        <v>1444</v>
      </c>
      <c r="D301" s="703" t="s">
        <v>1640</v>
      </c>
      <c r="E301" s="704">
        <v>2300</v>
      </c>
      <c r="F301" s="705" t="s">
        <v>1691</v>
      </c>
      <c r="G301" s="706" t="s">
        <v>1692</v>
      </c>
      <c r="H301" s="707" t="s">
        <v>1643</v>
      </c>
      <c r="I301" s="211" t="s">
        <v>1644</v>
      </c>
      <c r="J301" s="211" t="s">
        <v>1645</v>
      </c>
      <c r="K301" s="514">
        <v>3</v>
      </c>
      <c r="L301" s="514">
        <v>12</v>
      </c>
      <c r="M301" s="708">
        <f t="shared" si="0"/>
        <v>27600</v>
      </c>
      <c r="N301" s="709">
        <v>2</v>
      </c>
      <c r="O301" s="709">
        <v>6</v>
      </c>
      <c r="P301" s="708">
        <f t="shared" si="1"/>
        <v>13800</v>
      </c>
    </row>
    <row r="302" spans="1:16" ht="24" x14ac:dyDescent="0.2">
      <c r="A302" s="702">
        <v>1316</v>
      </c>
      <c r="B302" s="211" t="s">
        <v>1639</v>
      </c>
      <c r="C302" s="514" t="s">
        <v>1444</v>
      </c>
      <c r="D302" s="703" t="s">
        <v>1646</v>
      </c>
      <c r="E302" s="704">
        <v>3000</v>
      </c>
      <c r="F302" s="705" t="s">
        <v>1693</v>
      </c>
      <c r="G302" s="706" t="s">
        <v>1694</v>
      </c>
      <c r="H302" s="707" t="s">
        <v>887</v>
      </c>
      <c r="I302" s="211" t="s">
        <v>1644</v>
      </c>
      <c r="J302" s="211" t="s">
        <v>1645</v>
      </c>
      <c r="K302" s="514">
        <v>3</v>
      </c>
      <c r="L302" s="514">
        <v>12</v>
      </c>
      <c r="M302" s="708">
        <f t="shared" si="0"/>
        <v>36000</v>
      </c>
      <c r="N302" s="709">
        <v>2</v>
      </c>
      <c r="O302" s="709">
        <v>6</v>
      </c>
      <c r="P302" s="708">
        <f t="shared" si="1"/>
        <v>18000</v>
      </c>
    </row>
    <row r="303" spans="1:16" ht="24" x14ac:dyDescent="0.2">
      <c r="A303" s="702">
        <v>1316</v>
      </c>
      <c r="B303" s="211" t="s">
        <v>1639</v>
      </c>
      <c r="C303" s="514" t="s">
        <v>1444</v>
      </c>
      <c r="D303" s="707" t="s">
        <v>695</v>
      </c>
      <c r="E303" s="704">
        <v>2800</v>
      </c>
      <c r="F303" s="705" t="s">
        <v>1695</v>
      </c>
      <c r="G303" s="706" t="s">
        <v>1696</v>
      </c>
      <c r="H303" s="707" t="s">
        <v>1697</v>
      </c>
      <c r="I303" s="211" t="s">
        <v>1644</v>
      </c>
      <c r="J303" s="211" t="s">
        <v>1645</v>
      </c>
      <c r="K303" s="514">
        <v>3</v>
      </c>
      <c r="L303" s="514">
        <v>12</v>
      </c>
      <c r="M303" s="708">
        <f t="shared" si="0"/>
        <v>33600</v>
      </c>
      <c r="N303" s="709">
        <v>2</v>
      </c>
      <c r="O303" s="709">
        <v>6</v>
      </c>
      <c r="P303" s="708">
        <f t="shared" si="1"/>
        <v>16800</v>
      </c>
    </row>
    <row r="304" spans="1:16" ht="24" x14ac:dyDescent="0.2">
      <c r="A304" s="702">
        <v>1316</v>
      </c>
      <c r="B304" s="211" t="s">
        <v>1639</v>
      </c>
      <c r="C304" s="514" t="s">
        <v>1444</v>
      </c>
      <c r="D304" s="703" t="s">
        <v>904</v>
      </c>
      <c r="E304" s="704">
        <v>1000</v>
      </c>
      <c r="F304" s="705" t="s">
        <v>1698</v>
      </c>
      <c r="G304" s="706" t="s">
        <v>1699</v>
      </c>
      <c r="H304" s="703" t="s">
        <v>904</v>
      </c>
      <c r="I304" s="211" t="s">
        <v>1662</v>
      </c>
      <c r="J304" s="211" t="s">
        <v>1663</v>
      </c>
      <c r="K304" s="514">
        <v>3</v>
      </c>
      <c r="L304" s="514">
        <v>12</v>
      </c>
      <c r="M304" s="708">
        <f t="shared" si="0"/>
        <v>12000</v>
      </c>
      <c r="N304" s="709">
        <v>2</v>
      </c>
      <c r="O304" s="709">
        <v>6</v>
      </c>
      <c r="P304" s="708">
        <f t="shared" si="1"/>
        <v>6000</v>
      </c>
    </row>
    <row r="305" spans="1:16" ht="24" x14ac:dyDescent="0.2">
      <c r="A305" s="702">
        <v>1316</v>
      </c>
      <c r="B305" s="211" t="s">
        <v>1639</v>
      </c>
      <c r="C305" s="514" t="s">
        <v>1444</v>
      </c>
      <c r="D305" s="707" t="s">
        <v>1700</v>
      </c>
      <c r="E305" s="704">
        <v>2500</v>
      </c>
      <c r="F305" s="705" t="s">
        <v>1701</v>
      </c>
      <c r="G305" s="706" t="s">
        <v>1702</v>
      </c>
      <c r="H305" s="707" t="s">
        <v>1700</v>
      </c>
      <c r="I305" s="211" t="s">
        <v>1644</v>
      </c>
      <c r="J305" s="211" t="s">
        <v>1645</v>
      </c>
      <c r="K305" s="514">
        <v>3</v>
      </c>
      <c r="L305" s="514">
        <v>12</v>
      </c>
      <c r="M305" s="708">
        <f t="shared" si="0"/>
        <v>30000</v>
      </c>
      <c r="N305" s="709">
        <v>2</v>
      </c>
      <c r="O305" s="709">
        <v>6</v>
      </c>
      <c r="P305" s="708">
        <f t="shared" si="1"/>
        <v>15000</v>
      </c>
    </row>
    <row r="306" spans="1:16" ht="12.75" x14ac:dyDescent="0.2">
      <c r="A306" s="702">
        <v>1316</v>
      </c>
      <c r="B306" s="211" t="s">
        <v>1639</v>
      </c>
      <c r="C306" s="514" t="s">
        <v>1444</v>
      </c>
      <c r="D306" s="703" t="s">
        <v>1703</v>
      </c>
      <c r="E306" s="704">
        <v>3500</v>
      </c>
      <c r="F306" s="705" t="s">
        <v>1704</v>
      </c>
      <c r="G306" s="706" t="s">
        <v>1705</v>
      </c>
      <c r="H306" s="703" t="s">
        <v>1703</v>
      </c>
      <c r="I306" s="211" t="s">
        <v>1644</v>
      </c>
      <c r="J306" s="211" t="s">
        <v>1645</v>
      </c>
      <c r="K306" s="514">
        <v>3</v>
      </c>
      <c r="L306" s="514">
        <v>12</v>
      </c>
      <c r="M306" s="708">
        <f t="shared" si="0"/>
        <v>42000</v>
      </c>
      <c r="N306" s="709">
        <v>2</v>
      </c>
      <c r="O306" s="709">
        <v>6</v>
      </c>
      <c r="P306" s="708">
        <f t="shared" si="1"/>
        <v>21000</v>
      </c>
    </row>
    <row r="307" spans="1:16" ht="24" x14ac:dyDescent="0.2">
      <c r="A307" s="702">
        <v>1316</v>
      </c>
      <c r="B307" s="211" t="s">
        <v>1639</v>
      </c>
      <c r="C307" s="514" t="s">
        <v>1444</v>
      </c>
      <c r="D307" s="703" t="s">
        <v>1640</v>
      </c>
      <c r="E307" s="704">
        <v>2000</v>
      </c>
      <c r="F307" s="705" t="s">
        <v>1706</v>
      </c>
      <c r="G307" s="706" t="s">
        <v>1707</v>
      </c>
      <c r="H307" s="707" t="s">
        <v>1643</v>
      </c>
      <c r="I307" s="211" t="s">
        <v>1644</v>
      </c>
      <c r="J307" s="211" t="s">
        <v>1645</v>
      </c>
      <c r="K307" s="514">
        <v>3</v>
      </c>
      <c r="L307" s="514">
        <v>12</v>
      </c>
      <c r="M307" s="708">
        <f t="shared" si="0"/>
        <v>24000</v>
      </c>
      <c r="N307" s="709">
        <v>2</v>
      </c>
      <c r="O307" s="709">
        <v>6</v>
      </c>
      <c r="P307" s="708">
        <f t="shared" si="1"/>
        <v>12000</v>
      </c>
    </row>
    <row r="308" spans="1:16" ht="24" x14ac:dyDescent="0.2">
      <c r="A308" s="702">
        <v>1316</v>
      </c>
      <c r="B308" s="211" t="s">
        <v>1639</v>
      </c>
      <c r="C308" s="514" t="s">
        <v>1444</v>
      </c>
      <c r="D308" s="707" t="s">
        <v>1673</v>
      </c>
      <c r="E308" s="704">
        <v>2300</v>
      </c>
      <c r="F308" s="705" t="s">
        <v>1708</v>
      </c>
      <c r="G308" s="706" t="s">
        <v>1709</v>
      </c>
      <c r="H308" s="707" t="s">
        <v>1676</v>
      </c>
      <c r="I308" s="211" t="s">
        <v>1644</v>
      </c>
      <c r="J308" s="211" t="s">
        <v>1645</v>
      </c>
      <c r="K308" s="514">
        <v>3</v>
      </c>
      <c r="L308" s="514">
        <v>12</v>
      </c>
      <c r="M308" s="708">
        <f t="shared" si="0"/>
        <v>27600</v>
      </c>
      <c r="N308" s="709">
        <v>2</v>
      </c>
      <c r="O308" s="709">
        <v>6</v>
      </c>
      <c r="P308" s="708">
        <f t="shared" si="1"/>
        <v>13800</v>
      </c>
    </row>
    <row r="309" spans="1:16" ht="12.75" x14ac:dyDescent="0.2">
      <c r="A309" s="702">
        <v>1316</v>
      </c>
      <c r="B309" s="211" t="s">
        <v>1639</v>
      </c>
      <c r="C309" s="514" t="s">
        <v>1444</v>
      </c>
      <c r="D309" s="703" t="s">
        <v>625</v>
      </c>
      <c r="E309" s="704">
        <v>1100</v>
      </c>
      <c r="F309" s="705" t="s">
        <v>1710</v>
      </c>
      <c r="G309" s="706" t="s">
        <v>1711</v>
      </c>
      <c r="H309" s="703" t="s">
        <v>625</v>
      </c>
      <c r="I309" s="211" t="s">
        <v>1662</v>
      </c>
      <c r="J309" s="211" t="s">
        <v>1663</v>
      </c>
      <c r="K309" s="514">
        <v>3</v>
      </c>
      <c r="L309" s="514">
        <v>12</v>
      </c>
      <c r="M309" s="708">
        <f t="shared" si="0"/>
        <v>13200</v>
      </c>
      <c r="N309" s="709">
        <v>2</v>
      </c>
      <c r="O309" s="709">
        <v>6</v>
      </c>
      <c r="P309" s="708">
        <f t="shared" si="1"/>
        <v>6600</v>
      </c>
    </row>
    <row r="310" spans="1:16" ht="24" x14ac:dyDescent="0.2">
      <c r="A310" s="702">
        <v>1316</v>
      </c>
      <c r="B310" s="211" t="s">
        <v>1639</v>
      </c>
      <c r="C310" s="514" t="s">
        <v>1444</v>
      </c>
      <c r="D310" s="707" t="s">
        <v>1656</v>
      </c>
      <c r="E310" s="704">
        <v>2097</v>
      </c>
      <c r="F310" s="705" t="s">
        <v>1712</v>
      </c>
      <c r="G310" s="706" t="s">
        <v>1713</v>
      </c>
      <c r="H310" s="707" t="s">
        <v>1656</v>
      </c>
      <c r="I310" s="211" t="s">
        <v>1654</v>
      </c>
      <c r="J310" s="211" t="s">
        <v>1655</v>
      </c>
      <c r="K310" s="514">
        <v>2</v>
      </c>
      <c r="L310" s="514">
        <v>6</v>
      </c>
      <c r="M310" s="708">
        <f t="shared" si="0"/>
        <v>12582</v>
      </c>
      <c r="N310" s="709">
        <v>2</v>
      </c>
      <c r="O310" s="709">
        <v>6</v>
      </c>
      <c r="P310" s="708">
        <f t="shared" si="1"/>
        <v>12582</v>
      </c>
    </row>
    <row r="311" spans="1:16" ht="36" x14ac:dyDescent="0.2">
      <c r="A311" s="702">
        <v>1316</v>
      </c>
      <c r="B311" s="211" t="s">
        <v>1639</v>
      </c>
      <c r="C311" s="514" t="s">
        <v>1444</v>
      </c>
      <c r="D311" s="703" t="s">
        <v>1659</v>
      </c>
      <c r="E311" s="704">
        <v>1000</v>
      </c>
      <c r="F311" s="705" t="s">
        <v>1714</v>
      </c>
      <c r="G311" s="706" t="s">
        <v>1715</v>
      </c>
      <c r="H311" s="703" t="s">
        <v>1659</v>
      </c>
      <c r="I311" s="211" t="s">
        <v>1662</v>
      </c>
      <c r="J311" s="211" t="s">
        <v>1663</v>
      </c>
      <c r="K311" s="514">
        <v>3</v>
      </c>
      <c r="L311" s="514">
        <v>12</v>
      </c>
      <c r="M311" s="708">
        <f t="shared" si="0"/>
        <v>12000</v>
      </c>
      <c r="N311" s="709">
        <v>2</v>
      </c>
      <c r="O311" s="709">
        <v>6</v>
      </c>
      <c r="P311" s="708">
        <f t="shared" si="1"/>
        <v>6000</v>
      </c>
    </row>
    <row r="312" spans="1:16" ht="24" x14ac:dyDescent="0.2">
      <c r="A312" s="702">
        <v>1316</v>
      </c>
      <c r="B312" s="211" t="s">
        <v>1639</v>
      </c>
      <c r="C312" s="514" t="s">
        <v>1444</v>
      </c>
      <c r="D312" s="703" t="s">
        <v>1716</v>
      </c>
      <c r="E312" s="704">
        <v>1300</v>
      </c>
      <c r="F312" s="705" t="s">
        <v>1717</v>
      </c>
      <c r="G312" s="706" t="s">
        <v>1718</v>
      </c>
      <c r="H312" s="703" t="s">
        <v>1716</v>
      </c>
      <c r="I312" s="211" t="s">
        <v>1654</v>
      </c>
      <c r="J312" s="211" t="s">
        <v>1655</v>
      </c>
      <c r="K312" s="514">
        <v>3</v>
      </c>
      <c r="L312" s="514">
        <v>12</v>
      </c>
      <c r="M312" s="708">
        <f t="shared" si="0"/>
        <v>15600</v>
      </c>
      <c r="N312" s="709">
        <v>2</v>
      </c>
      <c r="O312" s="709">
        <v>6</v>
      </c>
      <c r="P312" s="708">
        <f t="shared" si="1"/>
        <v>7800</v>
      </c>
    </row>
    <row r="313" spans="1:16" ht="24" x14ac:dyDescent="0.2">
      <c r="A313" s="702">
        <v>1316</v>
      </c>
      <c r="B313" s="211" t="s">
        <v>1639</v>
      </c>
      <c r="C313" s="514" t="s">
        <v>1444</v>
      </c>
      <c r="D313" s="703" t="s">
        <v>1646</v>
      </c>
      <c r="E313" s="704">
        <v>2000</v>
      </c>
      <c r="F313" s="705" t="s">
        <v>1719</v>
      </c>
      <c r="G313" s="706" t="s">
        <v>1720</v>
      </c>
      <c r="H313" s="707" t="s">
        <v>887</v>
      </c>
      <c r="I313" s="211" t="s">
        <v>1644</v>
      </c>
      <c r="J313" s="211" t="s">
        <v>1645</v>
      </c>
      <c r="K313" s="514">
        <v>3</v>
      </c>
      <c r="L313" s="514">
        <v>12</v>
      </c>
      <c r="M313" s="708">
        <f t="shared" si="0"/>
        <v>24000</v>
      </c>
      <c r="N313" s="709">
        <v>2</v>
      </c>
      <c r="O313" s="709">
        <v>6</v>
      </c>
      <c r="P313" s="708">
        <f t="shared" si="1"/>
        <v>12000</v>
      </c>
    </row>
    <row r="314" spans="1:16" ht="24" x14ac:dyDescent="0.2">
      <c r="A314" s="702">
        <v>1316</v>
      </c>
      <c r="B314" s="211" t="s">
        <v>1639</v>
      </c>
      <c r="C314" s="514" t="s">
        <v>1444</v>
      </c>
      <c r="D314" s="703" t="s">
        <v>1673</v>
      </c>
      <c r="E314" s="704">
        <v>2300</v>
      </c>
      <c r="F314" s="705" t="s">
        <v>1721</v>
      </c>
      <c r="G314" s="706" t="s">
        <v>1722</v>
      </c>
      <c r="H314" s="707" t="s">
        <v>1676</v>
      </c>
      <c r="I314" s="211" t="s">
        <v>1644</v>
      </c>
      <c r="J314" s="211" t="s">
        <v>1645</v>
      </c>
      <c r="K314" s="514">
        <v>3</v>
      </c>
      <c r="L314" s="514">
        <v>12</v>
      </c>
      <c r="M314" s="708">
        <f t="shared" si="0"/>
        <v>27600</v>
      </c>
      <c r="N314" s="709">
        <v>2</v>
      </c>
      <c r="O314" s="709">
        <v>6</v>
      </c>
      <c r="P314" s="708">
        <f t="shared" si="1"/>
        <v>13800</v>
      </c>
    </row>
    <row r="315" spans="1:16" ht="24" x14ac:dyDescent="0.2">
      <c r="A315" s="702">
        <v>1316</v>
      </c>
      <c r="B315" s="211" t="s">
        <v>1639</v>
      </c>
      <c r="C315" s="514" t="s">
        <v>1444</v>
      </c>
      <c r="D315" s="703" t="s">
        <v>1716</v>
      </c>
      <c r="E315" s="704">
        <v>1300</v>
      </c>
      <c r="F315" s="705" t="s">
        <v>1723</v>
      </c>
      <c r="G315" s="706" t="s">
        <v>1724</v>
      </c>
      <c r="H315" s="703" t="s">
        <v>1716</v>
      </c>
      <c r="I315" s="211" t="s">
        <v>1654</v>
      </c>
      <c r="J315" s="211" t="s">
        <v>1655</v>
      </c>
      <c r="K315" s="514">
        <v>3</v>
      </c>
      <c r="L315" s="514">
        <v>12</v>
      </c>
      <c r="M315" s="708">
        <f t="shared" si="0"/>
        <v>15600</v>
      </c>
      <c r="N315" s="709">
        <v>2</v>
      </c>
      <c r="O315" s="709">
        <v>6</v>
      </c>
      <c r="P315" s="708">
        <f t="shared" si="1"/>
        <v>7800</v>
      </c>
    </row>
    <row r="316" spans="1:16" ht="24" x14ac:dyDescent="0.2">
      <c r="A316" s="702">
        <v>1316</v>
      </c>
      <c r="B316" s="211" t="s">
        <v>1639</v>
      </c>
      <c r="C316" s="514" t="s">
        <v>1444</v>
      </c>
      <c r="D316" s="703" t="s">
        <v>1673</v>
      </c>
      <c r="E316" s="704">
        <v>2400</v>
      </c>
      <c r="F316" s="705" t="s">
        <v>1725</v>
      </c>
      <c r="G316" s="706" t="s">
        <v>1726</v>
      </c>
      <c r="H316" s="707" t="s">
        <v>1676</v>
      </c>
      <c r="I316" s="211" t="s">
        <v>1644</v>
      </c>
      <c r="J316" s="211" t="s">
        <v>1645</v>
      </c>
      <c r="K316" s="514">
        <v>3</v>
      </c>
      <c r="L316" s="514">
        <v>12</v>
      </c>
      <c r="M316" s="708">
        <f t="shared" si="0"/>
        <v>28800</v>
      </c>
      <c r="N316" s="709">
        <v>2</v>
      </c>
      <c r="O316" s="709">
        <v>6</v>
      </c>
      <c r="P316" s="708">
        <f t="shared" si="1"/>
        <v>14400</v>
      </c>
    </row>
    <row r="317" spans="1:16" ht="24" x14ac:dyDescent="0.2">
      <c r="A317" s="702">
        <v>1316</v>
      </c>
      <c r="B317" s="211" t="s">
        <v>1639</v>
      </c>
      <c r="C317" s="514" t="s">
        <v>1444</v>
      </c>
      <c r="D317" s="703" t="s">
        <v>1646</v>
      </c>
      <c r="E317" s="704">
        <v>2689</v>
      </c>
      <c r="F317" s="705" t="s">
        <v>1727</v>
      </c>
      <c r="G317" s="706" t="s">
        <v>1728</v>
      </c>
      <c r="H317" s="707" t="s">
        <v>887</v>
      </c>
      <c r="I317" s="211" t="s">
        <v>1644</v>
      </c>
      <c r="J317" s="211" t="s">
        <v>1645</v>
      </c>
      <c r="K317" s="514">
        <v>1</v>
      </c>
      <c r="L317" s="514">
        <v>2</v>
      </c>
      <c r="M317" s="708">
        <f t="shared" si="0"/>
        <v>5378</v>
      </c>
      <c r="N317" s="709">
        <v>2</v>
      </c>
      <c r="O317" s="709">
        <v>6</v>
      </c>
      <c r="P317" s="708">
        <f t="shared" si="1"/>
        <v>16134</v>
      </c>
    </row>
    <row r="318" spans="1:16" ht="24" x14ac:dyDescent="0.2">
      <c r="A318" s="702">
        <v>1316</v>
      </c>
      <c r="B318" s="211" t="s">
        <v>1639</v>
      </c>
      <c r="C318" s="514" t="s">
        <v>1444</v>
      </c>
      <c r="D318" s="703" t="s">
        <v>1640</v>
      </c>
      <c r="E318" s="704">
        <v>2000</v>
      </c>
      <c r="F318" s="705" t="s">
        <v>1729</v>
      </c>
      <c r="G318" s="706" t="s">
        <v>1730</v>
      </c>
      <c r="H318" s="707" t="s">
        <v>1643</v>
      </c>
      <c r="I318" s="211" t="s">
        <v>1644</v>
      </c>
      <c r="J318" s="211" t="s">
        <v>1645</v>
      </c>
      <c r="K318" s="514">
        <v>3</v>
      </c>
      <c r="L318" s="514">
        <v>12</v>
      </c>
      <c r="M318" s="708">
        <f t="shared" si="0"/>
        <v>24000</v>
      </c>
      <c r="N318" s="709">
        <v>2</v>
      </c>
      <c r="O318" s="709">
        <v>6</v>
      </c>
      <c r="P318" s="708">
        <f t="shared" si="1"/>
        <v>12000</v>
      </c>
    </row>
    <row r="319" spans="1:16" ht="24" x14ac:dyDescent="0.2">
      <c r="A319" s="702">
        <v>1316</v>
      </c>
      <c r="B319" s="211" t="s">
        <v>1639</v>
      </c>
      <c r="C319" s="514" t="s">
        <v>1444</v>
      </c>
      <c r="D319" s="703" t="s">
        <v>1731</v>
      </c>
      <c r="E319" s="704">
        <v>1834</v>
      </c>
      <c r="F319" s="705" t="s">
        <v>1732</v>
      </c>
      <c r="G319" s="706" t="s">
        <v>1733</v>
      </c>
      <c r="H319" s="703" t="s">
        <v>1731</v>
      </c>
      <c r="I319" s="211" t="s">
        <v>1654</v>
      </c>
      <c r="J319" s="211" t="s">
        <v>1655</v>
      </c>
      <c r="K319" s="514">
        <v>0</v>
      </c>
      <c r="L319" s="514">
        <v>0</v>
      </c>
      <c r="M319" s="211">
        <v>0</v>
      </c>
      <c r="N319" s="709">
        <v>1</v>
      </c>
      <c r="O319" s="709">
        <v>1</v>
      </c>
      <c r="P319" s="708">
        <f t="shared" si="1"/>
        <v>1834</v>
      </c>
    </row>
    <row r="320" spans="1:16" ht="24" x14ac:dyDescent="0.2">
      <c r="A320" s="702">
        <v>1316</v>
      </c>
      <c r="B320" s="211" t="s">
        <v>1639</v>
      </c>
      <c r="C320" s="514" t="s">
        <v>1444</v>
      </c>
      <c r="D320" s="703" t="s">
        <v>1673</v>
      </c>
      <c r="E320" s="704">
        <v>2300</v>
      </c>
      <c r="F320" s="705" t="s">
        <v>1734</v>
      </c>
      <c r="G320" s="706" t="s">
        <v>1735</v>
      </c>
      <c r="H320" s="707" t="s">
        <v>1676</v>
      </c>
      <c r="I320" s="211" t="s">
        <v>1644</v>
      </c>
      <c r="J320" s="211" t="s">
        <v>1645</v>
      </c>
      <c r="K320" s="514">
        <v>3</v>
      </c>
      <c r="L320" s="514">
        <v>12</v>
      </c>
      <c r="M320" s="708">
        <f t="shared" ref="M320:M336" si="2">L320*E320</f>
        <v>27600</v>
      </c>
      <c r="N320" s="709">
        <v>2</v>
      </c>
      <c r="O320" s="709">
        <v>6</v>
      </c>
      <c r="P320" s="708">
        <f t="shared" si="1"/>
        <v>13800</v>
      </c>
    </row>
    <row r="321" spans="1:16" ht="24" x14ac:dyDescent="0.2">
      <c r="A321" s="702">
        <v>1316</v>
      </c>
      <c r="B321" s="211" t="s">
        <v>1639</v>
      </c>
      <c r="C321" s="514" t="s">
        <v>1444</v>
      </c>
      <c r="D321" s="703" t="s">
        <v>1646</v>
      </c>
      <c r="E321" s="704">
        <v>2500</v>
      </c>
      <c r="F321" s="705" t="s">
        <v>1736</v>
      </c>
      <c r="G321" s="706" t="s">
        <v>1737</v>
      </c>
      <c r="H321" s="707" t="s">
        <v>887</v>
      </c>
      <c r="I321" s="211" t="s">
        <v>1644</v>
      </c>
      <c r="J321" s="211" t="s">
        <v>1645</v>
      </c>
      <c r="K321" s="514">
        <v>2</v>
      </c>
      <c r="L321" s="514">
        <v>6</v>
      </c>
      <c r="M321" s="708">
        <f t="shared" si="2"/>
        <v>15000</v>
      </c>
      <c r="N321" s="709">
        <v>2</v>
      </c>
      <c r="O321" s="709">
        <v>6</v>
      </c>
      <c r="P321" s="708">
        <f t="shared" si="1"/>
        <v>15000</v>
      </c>
    </row>
    <row r="322" spans="1:16" ht="24" x14ac:dyDescent="0.2">
      <c r="A322" s="702">
        <v>1316</v>
      </c>
      <c r="B322" s="211" t="s">
        <v>1639</v>
      </c>
      <c r="C322" s="514" t="s">
        <v>1444</v>
      </c>
      <c r="D322" s="703" t="s">
        <v>1640</v>
      </c>
      <c r="E322" s="704">
        <v>2300</v>
      </c>
      <c r="F322" s="705" t="s">
        <v>1738</v>
      </c>
      <c r="G322" s="706" t="s">
        <v>1739</v>
      </c>
      <c r="H322" s="707" t="s">
        <v>1643</v>
      </c>
      <c r="I322" s="211" t="s">
        <v>1644</v>
      </c>
      <c r="J322" s="211" t="s">
        <v>1645</v>
      </c>
      <c r="K322" s="514">
        <v>3</v>
      </c>
      <c r="L322" s="514">
        <v>12</v>
      </c>
      <c r="M322" s="708">
        <f t="shared" si="2"/>
        <v>27600</v>
      </c>
      <c r="N322" s="709">
        <v>2</v>
      </c>
      <c r="O322" s="709">
        <v>6</v>
      </c>
      <c r="P322" s="708">
        <f t="shared" si="1"/>
        <v>13800</v>
      </c>
    </row>
    <row r="323" spans="1:16" ht="36" x14ac:dyDescent="0.2">
      <c r="A323" s="702">
        <v>1316</v>
      </c>
      <c r="B323" s="211" t="s">
        <v>1639</v>
      </c>
      <c r="C323" s="514" t="s">
        <v>1444</v>
      </c>
      <c r="D323" s="707" t="s">
        <v>1659</v>
      </c>
      <c r="E323" s="704">
        <v>1000</v>
      </c>
      <c r="F323" s="705" t="s">
        <v>1740</v>
      </c>
      <c r="G323" s="706" t="s">
        <v>1741</v>
      </c>
      <c r="H323" s="707" t="s">
        <v>1659</v>
      </c>
      <c r="I323" s="211" t="s">
        <v>1662</v>
      </c>
      <c r="J323" s="211" t="s">
        <v>1663</v>
      </c>
      <c r="K323" s="514">
        <v>3</v>
      </c>
      <c r="L323" s="514">
        <v>12</v>
      </c>
      <c r="M323" s="708">
        <f t="shared" si="2"/>
        <v>12000</v>
      </c>
      <c r="N323" s="709">
        <v>2</v>
      </c>
      <c r="O323" s="709">
        <v>6</v>
      </c>
      <c r="P323" s="708">
        <f t="shared" si="1"/>
        <v>6000</v>
      </c>
    </row>
    <row r="324" spans="1:16" ht="36" x14ac:dyDescent="0.2">
      <c r="A324" s="702">
        <v>1316</v>
      </c>
      <c r="B324" s="211" t="s">
        <v>1639</v>
      </c>
      <c r="C324" s="514" t="s">
        <v>1444</v>
      </c>
      <c r="D324" s="707" t="s">
        <v>1659</v>
      </c>
      <c r="E324" s="704">
        <v>1000</v>
      </c>
      <c r="F324" s="705" t="s">
        <v>1742</v>
      </c>
      <c r="G324" s="706" t="s">
        <v>1743</v>
      </c>
      <c r="H324" s="707" t="s">
        <v>1659</v>
      </c>
      <c r="I324" s="211" t="s">
        <v>1662</v>
      </c>
      <c r="J324" s="211" t="s">
        <v>1663</v>
      </c>
      <c r="K324" s="514">
        <v>3</v>
      </c>
      <c r="L324" s="514">
        <v>12</v>
      </c>
      <c r="M324" s="708">
        <f t="shared" si="2"/>
        <v>12000</v>
      </c>
      <c r="N324" s="709">
        <v>2</v>
      </c>
      <c r="O324" s="709">
        <v>6</v>
      </c>
      <c r="P324" s="708">
        <f t="shared" si="1"/>
        <v>6000</v>
      </c>
    </row>
    <row r="325" spans="1:16" ht="24" x14ac:dyDescent="0.2">
      <c r="A325" s="702">
        <v>1316</v>
      </c>
      <c r="B325" s="211" t="s">
        <v>1639</v>
      </c>
      <c r="C325" s="514" t="s">
        <v>1444</v>
      </c>
      <c r="D325" s="707" t="s">
        <v>1744</v>
      </c>
      <c r="E325" s="704">
        <v>2000</v>
      </c>
      <c r="F325" s="705" t="s">
        <v>1745</v>
      </c>
      <c r="G325" s="706" t="s">
        <v>1746</v>
      </c>
      <c r="H325" s="707" t="s">
        <v>1747</v>
      </c>
      <c r="I325" s="211" t="s">
        <v>1644</v>
      </c>
      <c r="J325" s="211" t="s">
        <v>1645</v>
      </c>
      <c r="K325" s="514">
        <v>3</v>
      </c>
      <c r="L325" s="514">
        <v>12</v>
      </c>
      <c r="M325" s="708">
        <f t="shared" si="2"/>
        <v>24000</v>
      </c>
      <c r="N325" s="709">
        <v>2</v>
      </c>
      <c r="O325" s="709">
        <v>6</v>
      </c>
      <c r="P325" s="708">
        <f t="shared" si="1"/>
        <v>12000</v>
      </c>
    </row>
    <row r="326" spans="1:16" ht="24" x14ac:dyDescent="0.2">
      <c r="A326" s="702">
        <v>1316</v>
      </c>
      <c r="B326" s="211" t="s">
        <v>1639</v>
      </c>
      <c r="C326" s="514" t="s">
        <v>1444</v>
      </c>
      <c r="D326" s="707" t="s">
        <v>1651</v>
      </c>
      <c r="E326" s="704">
        <v>1300</v>
      </c>
      <c r="F326" s="705" t="s">
        <v>1748</v>
      </c>
      <c r="G326" s="706" t="s">
        <v>1749</v>
      </c>
      <c r="H326" s="707" t="s">
        <v>1651</v>
      </c>
      <c r="I326" s="211" t="s">
        <v>1654</v>
      </c>
      <c r="J326" s="211" t="s">
        <v>1655</v>
      </c>
      <c r="K326" s="514">
        <v>3</v>
      </c>
      <c r="L326" s="514">
        <v>12</v>
      </c>
      <c r="M326" s="708">
        <f t="shared" si="2"/>
        <v>15600</v>
      </c>
      <c r="N326" s="709">
        <v>2</v>
      </c>
      <c r="O326" s="709">
        <v>6</v>
      </c>
      <c r="P326" s="708">
        <f t="shared" si="1"/>
        <v>7800</v>
      </c>
    </row>
    <row r="327" spans="1:16" ht="12.75" x14ac:dyDescent="0.2">
      <c r="A327" s="702">
        <v>1316</v>
      </c>
      <c r="B327" s="211" t="s">
        <v>1639</v>
      </c>
      <c r="C327" s="514" t="s">
        <v>1444</v>
      </c>
      <c r="D327" s="703" t="s">
        <v>1703</v>
      </c>
      <c r="E327" s="704">
        <v>3500</v>
      </c>
      <c r="F327" s="705" t="s">
        <v>1750</v>
      </c>
      <c r="G327" s="706" t="s">
        <v>1751</v>
      </c>
      <c r="H327" s="703" t="s">
        <v>1703</v>
      </c>
      <c r="I327" s="211" t="s">
        <v>1644</v>
      </c>
      <c r="J327" s="211" t="s">
        <v>1645</v>
      </c>
      <c r="K327" s="514">
        <v>3</v>
      </c>
      <c r="L327" s="514">
        <v>12</v>
      </c>
      <c r="M327" s="708">
        <f t="shared" si="2"/>
        <v>42000</v>
      </c>
      <c r="N327" s="709">
        <v>2</v>
      </c>
      <c r="O327" s="709">
        <v>6</v>
      </c>
      <c r="P327" s="708">
        <f t="shared" si="1"/>
        <v>21000</v>
      </c>
    </row>
    <row r="328" spans="1:16" ht="12.75" x14ac:dyDescent="0.2">
      <c r="A328" s="702">
        <v>1316</v>
      </c>
      <c r="B328" s="211" t="s">
        <v>1639</v>
      </c>
      <c r="C328" s="514" t="s">
        <v>1444</v>
      </c>
      <c r="D328" s="703" t="s">
        <v>1703</v>
      </c>
      <c r="E328" s="704">
        <v>3500</v>
      </c>
      <c r="F328" s="705" t="s">
        <v>1752</v>
      </c>
      <c r="G328" s="706" t="s">
        <v>1753</v>
      </c>
      <c r="H328" s="703" t="s">
        <v>1703</v>
      </c>
      <c r="I328" s="211" t="s">
        <v>1644</v>
      </c>
      <c r="J328" s="211" t="s">
        <v>1645</v>
      </c>
      <c r="K328" s="514">
        <v>3</v>
      </c>
      <c r="L328" s="514">
        <v>12</v>
      </c>
      <c r="M328" s="708">
        <f t="shared" si="2"/>
        <v>42000</v>
      </c>
      <c r="N328" s="709">
        <v>2</v>
      </c>
      <c r="O328" s="709">
        <v>6</v>
      </c>
      <c r="P328" s="708">
        <f t="shared" si="1"/>
        <v>21000</v>
      </c>
    </row>
    <row r="329" spans="1:16" ht="24" x14ac:dyDescent="0.2">
      <c r="A329" s="702">
        <v>1316</v>
      </c>
      <c r="B329" s="211" t="s">
        <v>1639</v>
      </c>
      <c r="C329" s="514" t="s">
        <v>1444</v>
      </c>
      <c r="D329" s="703" t="s">
        <v>1651</v>
      </c>
      <c r="E329" s="704">
        <v>1300</v>
      </c>
      <c r="F329" s="705" t="s">
        <v>1754</v>
      </c>
      <c r="G329" s="706" t="s">
        <v>1755</v>
      </c>
      <c r="H329" s="703" t="s">
        <v>1651</v>
      </c>
      <c r="I329" s="211" t="s">
        <v>1654</v>
      </c>
      <c r="J329" s="211" t="s">
        <v>1655</v>
      </c>
      <c r="K329" s="514">
        <v>3</v>
      </c>
      <c r="L329" s="514">
        <v>12</v>
      </c>
      <c r="M329" s="708">
        <f t="shared" si="2"/>
        <v>15600</v>
      </c>
      <c r="N329" s="709">
        <v>2</v>
      </c>
      <c r="O329" s="709">
        <v>6</v>
      </c>
      <c r="P329" s="708">
        <f t="shared" si="1"/>
        <v>7800</v>
      </c>
    </row>
    <row r="330" spans="1:16" ht="24" x14ac:dyDescent="0.2">
      <c r="A330" s="702">
        <v>1316</v>
      </c>
      <c r="B330" s="211" t="s">
        <v>1639</v>
      </c>
      <c r="C330" s="514" t="s">
        <v>1444</v>
      </c>
      <c r="D330" s="707" t="s">
        <v>1673</v>
      </c>
      <c r="E330" s="704">
        <v>2000</v>
      </c>
      <c r="F330" s="705" t="s">
        <v>1756</v>
      </c>
      <c r="G330" s="706" t="s">
        <v>1757</v>
      </c>
      <c r="H330" s="707" t="s">
        <v>1676</v>
      </c>
      <c r="I330" s="211" t="s">
        <v>1644</v>
      </c>
      <c r="J330" s="211" t="s">
        <v>1645</v>
      </c>
      <c r="K330" s="514">
        <v>3</v>
      </c>
      <c r="L330" s="514">
        <v>12</v>
      </c>
      <c r="M330" s="708">
        <f t="shared" si="2"/>
        <v>24000</v>
      </c>
      <c r="N330" s="709">
        <v>2</v>
      </c>
      <c r="O330" s="709">
        <v>6</v>
      </c>
      <c r="P330" s="708">
        <f t="shared" si="1"/>
        <v>12000</v>
      </c>
    </row>
    <row r="331" spans="1:16" ht="36" x14ac:dyDescent="0.2">
      <c r="A331" s="702">
        <v>1316</v>
      </c>
      <c r="B331" s="211" t="s">
        <v>1639</v>
      </c>
      <c r="C331" s="514" t="s">
        <v>1444</v>
      </c>
      <c r="D331" s="707" t="s">
        <v>1758</v>
      </c>
      <c r="E331" s="704">
        <v>2000</v>
      </c>
      <c r="F331" s="705" t="s">
        <v>1759</v>
      </c>
      <c r="G331" s="706" t="s">
        <v>1760</v>
      </c>
      <c r="H331" s="707" t="s">
        <v>1761</v>
      </c>
      <c r="I331" s="211" t="s">
        <v>1644</v>
      </c>
      <c r="J331" s="211" t="s">
        <v>1645</v>
      </c>
      <c r="K331" s="514">
        <v>3</v>
      </c>
      <c r="L331" s="514">
        <v>12</v>
      </c>
      <c r="M331" s="708">
        <f t="shared" si="2"/>
        <v>24000</v>
      </c>
      <c r="N331" s="709">
        <v>2</v>
      </c>
      <c r="O331" s="709">
        <v>6</v>
      </c>
      <c r="P331" s="708">
        <f t="shared" si="1"/>
        <v>12000</v>
      </c>
    </row>
    <row r="332" spans="1:16" ht="12.75" x14ac:dyDescent="0.2">
      <c r="A332" s="702">
        <v>1316</v>
      </c>
      <c r="B332" s="211" t="s">
        <v>1639</v>
      </c>
      <c r="C332" s="514" t="s">
        <v>1444</v>
      </c>
      <c r="D332" s="707" t="s">
        <v>625</v>
      </c>
      <c r="E332" s="704">
        <v>1100</v>
      </c>
      <c r="F332" s="705" t="s">
        <v>1762</v>
      </c>
      <c r="G332" s="706" t="s">
        <v>1763</v>
      </c>
      <c r="H332" s="707" t="s">
        <v>625</v>
      </c>
      <c r="I332" s="211" t="s">
        <v>1662</v>
      </c>
      <c r="J332" s="211" t="s">
        <v>1663</v>
      </c>
      <c r="K332" s="514">
        <v>3</v>
      </c>
      <c r="L332" s="514">
        <v>12</v>
      </c>
      <c r="M332" s="708">
        <f t="shared" si="2"/>
        <v>13200</v>
      </c>
      <c r="N332" s="709">
        <v>2</v>
      </c>
      <c r="O332" s="709">
        <v>6</v>
      </c>
      <c r="P332" s="708">
        <f t="shared" si="1"/>
        <v>6600</v>
      </c>
    </row>
    <row r="333" spans="1:16" ht="24" x14ac:dyDescent="0.2">
      <c r="A333" s="702">
        <v>1316</v>
      </c>
      <c r="B333" s="211" t="s">
        <v>1639</v>
      </c>
      <c r="C333" s="514" t="s">
        <v>1444</v>
      </c>
      <c r="D333" s="703" t="s">
        <v>1651</v>
      </c>
      <c r="E333" s="704">
        <v>1300</v>
      </c>
      <c r="F333" s="705" t="s">
        <v>1764</v>
      </c>
      <c r="G333" s="706" t="s">
        <v>1765</v>
      </c>
      <c r="H333" s="703" t="s">
        <v>1651</v>
      </c>
      <c r="I333" s="211" t="s">
        <v>1654</v>
      </c>
      <c r="J333" s="211" t="s">
        <v>1655</v>
      </c>
      <c r="K333" s="514">
        <v>3</v>
      </c>
      <c r="L333" s="514">
        <v>12</v>
      </c>
      <c r="M333" s="708">
        <f t="shared" si="2"/>
        <v>15600</v>
      </c>
      <c r="N333" s="709">
        <v>2</v>
      </c>
      <c r="O333" s="709">
        <v>6</v>
      </c>
      <c r="P333" s="708">
        <f t="shared" si="1"/>
        <v>7800</v>
      </c>
    </row>
    <row r="334" spans="1:16" ht="24" x14ac:dyDescent="0.2">
      <c r="A334" s="702">
        <v>1316</v>
      </c>
      <c r="B334" s="211" t="s">
        <v>1639</v>
      </c>
      <c r="C334" s="514" t="s">
        <v>1444</v>
      </c>
      <c r="D334" s="703" t="s">
        <v>1716</v>
      </c>
      <c r="E334" s="704">
        <v>1300</v>
      </c>
      <c r="F334" s="705" t="s">
        <v>1766</v>
      </c>
      <c r="G334" s="706" t="s">
        <v>1767</v>
      </c>
      <c r="H334" s="703" t="s">
        <v>1716</v>
      </c>
      <c r="I334" s="211" t="s">
        <v>1654</v>
      </c>
      <c r="J334" s="211" t="s">
        <v>1655</v>
      </c>
      <c r="K334" s="514">
        <v>3</v>
      </c>
      <c r="L334" s="514">
        <v>12</v>
      </c>
      <c r="M334" s="708">
        <f t="shared" si="2"/>
        <v>15600</v>
      </c>
      <c r="N334" s="709">
        <v>2</v>
      </c>
      <c r="O334" s="709">
        <v>6</v>
      </c>
      <c r="P334" s="708">
        <f t="shared" si="1"/>
        <v>7800</v>
      </c>
    </row>
    <row r="335" spans="1:16" ht="24" x14ac:dyDescent="0.2">
      <c r="A335" s="702">
        <v>1316</v>
      </c>
      <c r="B335" s="211" t="s">
        <v>1639</v>
      </c>
      <c r="C335" s="514" t="s">
        <v>1444</v>
      </c>
      <c r="D335" s="703" t="s">
        <v>1640</v>
      </c>
      <c r="E335" s="704">
        <v>2300</v>
      </c>
      <c r="F335" s="705" t="s">
        <v>1768</v>
      </c>
      <c r="G335" s="706" t="s">
        <v>1769</v>
      </c>
      <c r="H335" s="707" t="s">
        <v>1643</v>
      </c>
      <c r="I335" s="211" t="s">
        <v>1644</v>
      </c>
      <c r="J335" s="211" t="s">
        <v>1645</v>
      </c>
      <c r="K335" s="514">
        <v>3</v>
      </c>
      <c r="L335" s="514">
        <v>12</v>
      </c>
      <c r="M335" s="708">
        <f t="shared" si="2"/>
        <v>27600</v>
      </c>
      <c r="N335" s="709">
        <v>2</v>
      </c>
      <c r="O335" s="709">
        <v>6</v>
      </c>
      <c r="P335" s="708">
        <f t="shared" si="1"/>
        <v>13800</v>
      </c>
    </row>
    <row r="336" spans="1:16" ht="24" x14ac:dyDescent="0.2">
      <c r="A336" s="702">
        <v>1316</v>
      </c>
      <c r="B336" s="211" t="s">
        <v>1639</v>
      </c>
      <c r="C336" s="514" t="s">
        <v>1444</v>
      </c>
      <c r="D336" s="703" t="s">
        <v>1646</v>
      </c>
      <c r="E336" s="704">
        <v>2500</v>
      </c>
      <c r="F336" s="705" t="s">
        <v>1770</v>
      </c>
      <c r="G336" s="706" t="s">
        <v>1771</v>
      </c>
      <c r="H336" s="707" t="s">
        <v>887</v>
      </c>
      <c r="I336" s="211" t="s">
        <v>1644</v>
      </c>
      <c r="J336" s="211" t="s">
        <v>1645</v>
      </c>
      <c r="K336" s="514">
        <v>2</v>
      </c>
      <c r="L336" s="514">
        <v>6</v>
      </c>
      <c r="M336" s="708">
        <f t="shared" si="2"/>
        <v>15000</v>
      </c>
      <c r="N336" s="709">
        <v>2</v>
      </c>
      <c r="O336" s="709">
        <v>6</v>
      </c>
      <c r="P336" s="708">
        <f t="shared" si="1"/>
        <v>15000</v>
      </c>
    </row>
    <row r="337" spans="1:16" ht="24" x14ac:dyDescent="0.2">
      <c r="A337" s="702">
        <v>1316</v>
      </c>
      <c r="B337" s="211" t="s">
        <v>1639</v>
      </c>
      <c r="C337" s="514" t="s">
        <v>1444</v>
      </c>
      <c r="D337" s="703" t="s">
        <v>1772</v>
      </c>
      <c r="E337" s="704">
        <v>2500</v>
      </c>
      <c r="F337" s="705" t="s">
        <v>1773</v>
      </c>
      <c r="G337" s="706" t="s">
        <v>1774</v>
      </c>
      <c r="H337" s="703" t="s">
        <v>1772</v>
      </c>
      <c r="I337" s="211" t="s">
        <v>1644</v>
      </c>
      <c r="J337" s="211" t="s">
        <v>1645</v>
      </c>
      <c r="K337" s="514">
        <v>0</v>
      </c>
      <c r="L337" s="514">
        <v>0</v>
      </c>
      <c r="M337" s="211">
        <v>0</v>
      </c>
      <c r="N337" s="709">
        <v>1</v>
      </c>
      <c r="O337" s="709">
        <v>1</v>
      </c>
      <c r="P337" s="708">
        <f t="shared" si="1"/>
        <v>2500</v>
      </c>
    </row>
    <row r="338" spans="1:16" ht="36" x14ac:dyDescent="0.2">
      <c r="A338" s="702">
        <v>1316</v>
      </c>
      <c r="B338" s="211" t="s">
        <v>1639</v>
      </c>
      <c r="C338" s="514" t="s">
        <v>1444</v>
      </c>
      <c r="D338" s="703" t="s">
        <v>1659</v>
      </c>
      <c r="E338" s="704">
        <v>1000</v>
      </c>
      <c r="F338" s="705" t="s">
        <v>1775</v>
      </c>
      <c r="G338" s="706" t="s">
        <v>1776</v>
      </c>
      <c r="H338" s="703" t="s">
        <v>1659</v>
      </c>
      <c r="I338" s="211" t="s">
        <v>1662</v>
      </c>
      <c r="J338" s="211" t="s">
        <v>1663</v>
      </c>
      <c r="K338" s="514">
        <v>3</v>
      </c>
      <c r="L338" s="514">
        <v>12</v>
      </c>
      <c r="M338" s="708">
        <f t="shared" ref="M338:M345" si="3">L338*E338</f>
        <v>12000</v>
      </c>
      <c r="N338" s="709">
        <v>2</v>
      </c>
      <c r="O338" s="709">
        <v>6</v>
      </c>
      <c r="P338" s="708">
        <f t="shared" si="1"/>
        <v>6000</v>
      </c>
    </row>
    <row r="339" spans="1:16" ht="24" x14ac:dyDescent="0.2">
      <c r="A339" s="702">
        <v>1316</v>
      </c>
      <c r="B339" s="211" t="s">
        <v>1639</v>
      </c>
      <c r="C339" s="514" t="s">
        <v>1444</v>
      </c>
      <c r="D339" s="703" t="s">
        <v>1651</v>
      </c>
      <c r="E339" s="704">
        <v>1300</v>
      </c>
      <c r="F339" s="705" t="s">
        <v>1777</v>
      </c>
      <c r="G339" s="706" t="s">
        <v>1778</v>
      </c>
      <c r="H339" s="703" t="s">
        <v>1651</v>
      </c>
      <c r="I339" s="211" t="s">
        <v>1654</v>
      </c>
      <c r="J339" s="211" t="s">
        <v>1655</v>
      </c>
      <c r="K339" s="514">
        <v>3</v>
      </c>
      <c r="L339" s="514">
        <v>12</v>
      </c>
      <c r="M339" s="708">
        <f t="shared" si="3"/>
        <v>15600</v>
      </c>
      <c r="N339" s="709">
        <v>2</v>
      </c>
      <c r="O339" s="709">
        <v>6</v>
      </c>
      <c r="P339" s="708">
        <f t="shared" si="1"/>
        <v>7800</v>
      </c>
    </row>
    <row r="340" spans="1:16" ht="24" x14ac:dyDescent="0.2">
      <c r="A340" s="702">
        <v>1316</v>
      </c>
      <c r="B340" s="211" t="s">
        <v>1639</v>
      </c>
      <c r="C340" s="514" t="s">
        <v>1444</v>
      </c>
      <c r="D340" s="703" t="s">
        <v>1640</v>
      </c>
      <c r="E340" s="704">
        <v>2000</v>
      </c>
      <c r="F340" s="705" t="s">
        <v>1779</v>
      </c>
      <c r="G340" s="706" t="s">
        <v>1780</v>
      </c>
      <c r="H340" s="707" t="s">
        <v>1643</v>
      </c>
      <c r="I340" s="211" t="s">
        <v>1644</v>
      </c>
      <c r="J340" s="211" t="s">
        <v>1645</v>
      </c>
      <c r="K340" s="514">
        <v>3</v>
      </c>
      <c r="L340" s="514">
        <v>12</v>
      </c>
      <c r="M340" s="708">
        <f t="shared" si="3"/>
        <v>24000</v>
      </c>
      <c r="N340" s="709">
        <v>2</v>
      </c>
      <c r="O340" s="709">
        <v>6</v>
      </c>
      <c r="P340" s="708">
        <f t="shared" si="1"/>
        <v>12000</v>
      </c>
    </row>
    <row r="341" spans="1:16" ht="24" x14ac:dyDescent="0.2">
      <c r="A341" s="702">
        <v>1316</v>
      </c>
      <c r="B341" s="211" t="s">
        <v>1639</v>
      </c>
      <c r="C341" s="514" t="s">
        <v>1444</v>
      </c>
      <c r="D341" s="703" t="s">
        <v>1673</v>
      </c>
      <c r="E341" s="704">
        <v>2300</v>
      </c>
      <c r="F341" s="705" t="s">
        <v>1781</v>
      </c>
      <c r="G341" s="706" t="s">
        <v>1782</v>
      </c>
      <c r="H341" s="707" t="s">
        <v>1676</v>
      </c>
      <c r="I341" s="211" t="s">
        <v>1644</v>
      </c>
      <c r="J341" s="211" t="s">
        <v>1645</v>
      </c>
      <c r="K341" s="514">
        <v>3</v>
      </c>
      <c r="L341" s="514">
        <v>12</v>
      </c>
      <c r="M341" s="708">
        <f t="shared" si="3"/>
        <v>27600</v>
      </c>
      <c r="N341" s="709">
        <v>2</v>
      </c>
      <c r="O341" s="709">
        <v>6</v>
      </c>
      <c r="P341" s="708">
        <f t="shared" si="1"/>
        <v>13800</v>
      </c>
    </row>
    <row r="342" spans="1:16" ht="12.75" x14ac:dyDescent="0.2">
      <c r="A342" s="702">
        <v>1316</v>
      </c>
      <c r="B342" s="211" t="s">
        <v>1639</v>
      </c>
      <c r="C342" s="514" t="s">
        <v>1444</v>
      </c>
      <c r="D342" s="707" t="s">
        <v>609</v>
      </c>
      <c r="E342" s="704">
        <v>2000</v>
      </c>
      <c r="F342" s="705" t="s">
        <v>1783</v>
      </c>
      <c r="G342" s="706" t="s">
        <v>1784</v>
      </c>
      <c r="H342" s="707" t="s">
        <v>609</v>
      </c>
      <c r="I342" s="211" t="s">
        <v>1644</v>
      </c>
      <c r="J342" s="211" t="s">
        <v>1645</v>
      </c>
      <c r="K342" s="514">
        <v>3</v>
      </c>
      <c r="L342" s="514">
        <v>12</v>
      </c>
      <c r="M342" s="708">
        <f t="shared" si="3"/>
        <v>24000</v>
      </c>
      <c r="N342" s="709">
        <v>2</v>
      </c>
      <c r="O342" s="709">
        <v>6</v>
      </c>
      <c r="P342" s="708">
        <f t="shared" si="1"/>
        <v>12000</v>
      </c>
    </row>
    <row r="343" spans="1:16" ht="24" x14ac:dyDescent="0.2">
      <c r="A343" s="702">
        <v>1316</v>
      </c>
      <c r="B343" s="211" t="s">
        <v>1639</v>
      </c>
      <c r="C343" s="514" t="s">
        <v>1444</v>
      </c>
      <c r="D343" s="703" t="s">
        <v>1640</v>
      </c>
      <c r="E343" s="704">
        <v>2000</v>
      </c>
      <c r="F343" s="705" t="s">
        <v>1785</v>
      </c>
      <c r="G343" s="706" t="s">
        <v>1786</v>
      </c>
      <c r="H343" s="707" t="s">
        <v>1643</v>
      </c>
      <c r="I343" s="211" t="s">
        <v>1644</v>
      </c>
      <c r="J343" s="211" t="s">
        <v>1645</v>
      </c>
      <c r="K343" s="514">
        <v>3</v>
      </c>
      <c r="L343" s="514">
        <v>12</v>
      </c>
      <c r="M343" s="708">
        <f t="shared" si="3"/>
        <v>24000</v>
      </c>
      <c r="N343" s="709">
        <v>2</v>
      </c>
      <c r="O343" s="709">
        <v>6</v>
      </c>
      <c r="P343" s="708">
        <f t="shared" si="1"/>
        <v>12000</v>
      </c>
    </row>
    <row r="344" spans="1:16" ht="24" x14ac:dyDescent="0.2">
      <c r="A344" s="702">
        <v>1316</v>
      </c>
      <c r="B344" s="211" t="s">
        <v>1639</v>
      </c>
      <c r="C344" s="514" t="s">
        <v>1444</v>
      </c>
      <c r="D344" s="703" t="s">
        <v>1744</v>
      </c>
      <c r="E344" s="704">
        <v>2689</v>
      </c>
      <c r="F344" s="705" t="s">
        <v>1787</v>
      </c>
      <c r="G344" s="706" t="s">
        <v>1788</v>
      </c>
      <c r="H344" s="707" t="s">
        <v>1747</v>
      </c>
      <c r="I344" s="211" t="s">
        <v>1644</v>
      </c>
      <c r="J344" s="211" t="s">
        <v>1645</v>
      </c>
      <c r="K344" s="514">
        <v>2</v>
      </c>
      <c r="L344" s="514">
        <v>6</v>
      </c>
      <c r="M344" s="708">
        <f t="shared" si="3"/>
        <v>16134</v>
      </c>
      <c r="N344" s="709">
        <v>2</v>
      </c>
      <c r="O344" s="709">
        <v>6</v>
      </c>
      <c r="P344" s="708">
        <f t="shared" si="1"/>
        <v>16134</v>
      </c>
    </row>
    <row r="345" spans="1:16" ht="36" x14ac:dyDescent="0.2">
      <c r="A345" s="702">
        <v>1316</v>
      </c>
      <c r="B345" s="211" t="s">
        <v>1639</v>
      </c>
      <c r="C345" s="514" t="s">
        <v>1444</v>
      </c>
      <c r="D345" s="707" t="s">
        <v>1659</v>
      </c>
      <c r="E345" s="704">
        <v>1000</v>
      </c>
      <c r="F345" s="705" t="s">
        <v>1789</v>
      </c>
      <c r="G345" s="706" t="s">
        <v>1790</v>
      </c>
      <c r="H345" s="707" t="s">
        <v>1659</v>
      </c>
      <c r="I345" s="211" t="s">
        <v>1662</v>
      </c>
      <c r="J345" s="211" t="s">
        <v>1663</v>
      </c>
      <c r="K345" s="514">
        <v>3</v>
      </c>
      <c r="L345" s="514">
        <v>12</v>
      </c>
      <c r="M345" s="708">
        <f t="shared" si="3"/>
        <v>12000</v>
      </c>
      <c r="N345" s="709">
        <v>2</v>
      </c>
      <c r="O345" s="709">
        <v>6</v>
      </c>
      <c r="P345" s="708">
        <f t="shared" si="1"/>
        <v>6000</v>
      </c>
    </row>
    <row r="346" spans="1:16" ht="24" x14ac:dyDescent="0.2">
      <c r="A346" s="702">
        <v>1316</v>
      </c>
      <c r="B346" s="211" t="s">
        <v>1639</v>
      </c>
      <c r="C346" s="514" t="s">
        <v>1444</v>
      </c>
      <c r="D346" s="703" t="s">
        <v>1772</v>
      </c>
      <c r="E346" s="704">
        <v>2500</v>
      </c>
      <c r="F346" s="705" t="s">
        <v>1791</v>
      </c>
      <c r="G346" s="706" t="s">
        <v>1792</v>
      </c>
      <c r="H346" s="703" t="s">
        <v>1772</v>
      </c>
      <c r="I346" s="211" t="s">
        <v>1644</v>
      </c>
      <c r="J346" s="211" t="s">
        <v>1645</v>
      </c>
      <c r="K346" s="514">
        <v>0</v>
      </c>
      <c r="L346" s="514">
        <v>0</v>
      </c>
      <c r="M346" s="211">
        <v>0</v>
      </c>
      <c r="N346" s="709">
        <v>1</v>
      </c>
      <c r="O346" s="709">
        <v>1</v>
      </c>
      <c r="P346" s="708">
        <f t="shared" si="1"/>
        <v>2500</v>
      </c>
    </row>
    <row r="347" spans="1:16" ht="24" x14ac:dyDescent="0.2">
      <c r="A347" s="702">
        <v>1316</v>
      </c>
      <c r="B347" s="211" t="s">
        <v>1639</v>
      </c>
      <c r="C347" s="514" t="s">
        <v>1444</v>
      </c>
      <c r="D347" s="703" t="s">
        <v>1640</v>
      </c>
      <c r="E347" s="704">
        <v>2500</v>
      </c>
      <c r="F347" s="705" t="s">
        <v>1793</v>
      </c>
      <c r="G347" s="706" t="s">
        <v>1794</v>
      </c>
      <c r="H347" s="707" t="s">
        <v>1643</v>
      </c>
      <c r="I347" s="211" t="s">
        <v>1644</v>
      </c>
      <c r="J347" s="211" t="s">
        <v>1645</v>
      </c>
      <c r="K347" s="514">
        <v>2</v>
      </c>
      <c r="L347" s="514">
        <v>6</v>
      </c>
      <c r="M347" s="708">
        <f t="shared" ref="M347:M365" si="4">L347*E347</f>
        <v>15000</v>
      </c>
      <c r="N347" s="709">
        <v>2</v>
      </c>
      <c r="O347" s="709">
        <v>6</v>
      </c>
      <c r="P347" s="708">
        <f t="shared" ref="P347:P410" si="5">O347*E347</f>
        <v>15000</v>
      </c>
    </row>
    <row r="348" spans="1:16" ht="24" x14ac:dyDescent="0.2">
      <c r="A348" s="702">
        <v>1316</v>
      </c>
      <c r="B348" s="211" t="s">
        <v>1639</v>
      </c>
      <c r="C348" s="514" t="s">
        <v>1444</v>
      </c>
      <c r="D348" s="703" t="s">
        <v>1640</v>
      </c>
      <c r="E348" s="704">
        <v>2000</v>
      </c>
      <c r="F348" s="705" t="s">
        <v>1795</v>
      </c>
      <c r="G348" s="706" t="s">
        <v>1796</v>
      </c>
      <c r="H348" s="707" t="s">
        <v>1643</v>
      </c>
      <c r="I348" s="211" t="s">
        <v>1644</v>
      </c>
      <c r="J348" s="211" t="s">
        <v>1645</v>
      </c>
      <c r="K348" s="514">
        <v>3</v>
      </c>
      <c r="L348" s="514">
        <v>12</v>
      </c>
      <c r="M348" s="708">
        <f t="shared" si="4"/>
        <v>24000</v>
      </c>
      <c r="N348" s="709">
        <v>2</v>
      </c>
      <c r="O348" s="709">
        <v>6</v>
      </c>
      <c r="P348" s="708">
        <f t="shared" si="5"/>
        <v>12000</v>
      </c>
    </row>
    <row r="349" spans="1:16" ht="24" x14ac:dyDescent="0.2">
      <c r="A349" s="702">
        <v>1316</v>
      </c>
      <c r="B349" s="211" t="s">
        <v>1639</v>
      </c>
      <c r="C349" s="514" t="s">
        <v>1444</v>
      </c>
      <c r="D349" s="703" t="s">
        <v>1640</v>
      </c>
      <c r="E349" s="704">
        <v>2300</v>
      </c>
      <c r="F349" s="705" t="s">
        <v>1797</v>
      </c>
      <c r="G349" s="706" t="s">
        <v>1798</v>
      </c>
      <c r="H349" s="707" t="s">
        <v>1643</v>
      </c>
      <c r="I349" s="211" t="s">
        <v>1644</v>
      </c>
      <c r="J349" s="211" t="s">
        <v>1645</v>
      </c>
      <c r="K349" s="514">
        <v>3</v>
      </c>
      <c r="L349" s="514">
        <v>12</v>
      </c>
      <c r="M349" s="708">
        <f t="shared" si="4"/>
        <v>27600</v>
      </c>
      <c r="N349" s="709">
        <v>2</v>
      </c>
      <c r="O349" s="709">
        <v>6</v>
      </c>
      <c r="P349" s="708">
        <f t="shared" si="5"/>
        <v>13800</v>
      </c>
    </row>
    <row r="350" spans="1:16" ht="24" x14ac:dyDescent="0.2">
      <c r="A350" s="702">
        <v>1316</v>
      </c>
      <c r="B350" s="211" t="s">
        <v>1639</v>
      </c>
      <c r="C350" s="514" t="s">
        <v>1444</v>
      </c>
      <c r="D350" s="703" t="s">
        <v>1673</v>
      </c>
      <c r="E350" s="704">
        <v>2300</v>
      </c>
      <c r="F350" s="705" t="s">
        <v>1799</v>
      </c>
      <c r="G350" s="706" t="s">
        <v>1800</v>
      </c>
      <c r="H350" s="707" t="s">
        <v>1676</v>
      </c>
      <c r="I350" s="211" t="s">
        <v>1644</v>
      </c>
      <c r="J350" s="211" t="s">
        <v>1645</v>
      </c>
      <c r="K350" s="514">
        <v>3</v>
      </c>
      <c r="L350" s="514">
        <v>12</v>
      </c>
      <c r="M350" s="708">
        <f t="shared" si="4"/>
        <v>27600</v>
      </c>
      <c r="N350" s="709">
        <v>2</v>
      </c>
      <c r="O350" s="709">
        <v>6</v>
      </c>
      <c r="P350" s="708">
        <f t="shared" si="5"/>
        <v>13800</v>
      </c>
    </row>
    <row r="351" spans="1:16" ht="24" x14ac:dyDescent="0.2">
      <c r="A351" s="702">
        <v>1316</v>
      </c>
      <c r="B351" s="211" t="s">
        <v>1639</v>
      </c>
      <c r="C351" s="514" t="s">
        <v>1444</v>
      </c>
      <c r="D351" s="703" t="s">
        <v>904</v>
      </c>
      <c r="E351" s="704">
        <v>1000</v>
      </c>
      <c r="F351" s="705" t="s">
        <v>1801</v>
      </c>
      <c r="G351" s="706" t="s">
        <v>1802</v>
      </c>
      <c r="H351" s="703" t="s">
        <v>904</v>
      </c>
      <c r="I351" s="211" t="s">
        <v>1662</v>
      </c>
      <c r="J351" s="211" t="s">
        <v>1663</v>
      </c>
      <c r="K351" s="514">
        <v>3</v>
      </c>
      <c r="L351" s="514">
        <v>12</v>
      </c>
      <c r="M351" s="708">
        <f t="shared" si="4"/>
        <v>12000</v>
      </c>
      <c r="N351" s="709">
        <v>2</v>
      </c>
      <c r="O351" s="709">
        <v>6</v>
      </c>
      <c r="P351" s="708">
        <f t="shared" si="5"/>
        <v>6000</v>
      </c>
    </row>
    <row r="352" spans="1:16" ht="24" x14ac:dyDescent="0.2">
      <c r="A352" s="702">
        <v>1316</v>
      </c>
      <c r="B352" s="211" t="s">
        <v>1639</v>
      </c>
      <c r="C352" s="514" t="s">
        <v>1444</v>
      </c>
      <c r="D352" s="703" t="s">
        <v>1673</v>
      </c>
      <c r="E352" s="704">
        <v>2300</v>
      </c>
      <c r="F352" s="705" t="s">
        <v>1803</v>
      </c>
      <c r="G352" s="706" t="s">
        <v>1804</v>
      </c>
      <c r="H352" s="707" t="s">
        <v>1676</v>
      </c>
      <c r="I352" s="211" t="s">
        <v>1644</v>
      </c>
      <c r="J352" s="211" t="s">
        <v>1645</v>
      </c>
      <c r="K352" s="514">
        <v>3</v>
      </c>
      <c r="L352" s="514">
        <v>12</v>
      </c>
      <c r="M352" s="708">
        <f t="shared" si="4"/>
        <v>27600</v>
      </c>
      <c r="N352" s="709">
        <v>2</v>
      </c>
      <c r="O352" s="709">
        <v>6</v>
      </c>
      <c r="P352" s="708">
        <f t="shared" si="5"/>
        <v>13800</v>
      </c>
    </row>
    <row r="353" spans="1:16" ht="24" x14ac:dyDescent="0.2">
      <c r="A353" s="702">
        <v>1316</v>
      </c>
      <c r="B353" s="211" t="s">
        <v>1639</v>
      </c>
      <c r="C353" s="514" t="s">
        <v>1444</v>
      </c>
      <c r="D353" s="703" t="s">
        <v>1640</v>
      </c>
      <c r="E353" s="704">
        <v>2300</v>
      </c>
      <c r="F353" s="705" t="s">
        <v>1805</v>
      </c>
      <c r="G353" s="706" t="s">
        <v>1806</v>
      </c>
      <c r="H353" s="707" t="s">
        <v>1643</v>
      </c>
      <c r="I353" s="211" t="s">
        <v>1644</v>
      </c>
      <c r="J353" s="211" t="s">
        <v>1645</v>
      </c>
      <c r="K353" s="514">
        <v>3</v>
      </c>
      <c r="L353" s="514">
        <v>12</v>
      </c>
      <c r="M353" s="708">
        <f t="shared" si="4"/>
        <v>27600</v>
      </c>
      <c r="N353" s="709">
        <v>2</v>
      </c>
      <c r="O353" s="709">
        <v>6</v>
      </c>
      <c r="P353" s="708">
        <f t="shared" si="5"/>
        <v>13800</v>
      </c>
    </row>
    <row r="354" spans="1:16" ht="24" x14ac:dyDescent="0.2">
      <c r="A354" s="702">
        <v>1316</v>
      </c>
      <c r="B354" s="211" t="s">
        <v>1639</v>
      </c>
      <c r="C354" s="514" t="s">
        <v>1444</v>
      </c>
      <c r="D354" s="703" t="s">
        <v>1716</v>
      </c>
      <c r="E354" s="704">
        <v>1300</v>
      </c>
      <c r="F354" s="705" t="s">
        <v>1807</v>
      </c>
      <c r="G354" s="706" t="s">
        <v>1808</v>
      </c>
      <c r="H354" s="703" t="s">
        <v>1716</v>
      </c>
      <c r="I354" s="211" t="s">
        <v>1654</v>
      </c>
      <c r="J354" s="211" t="s">
        <v>1655</v>
      </c>
      <c r="K354" s="514">
        <v>3</v>
      </c>
      <c r="L354" s="514">
        <v>12</v>
      </c>
      <c r="M354" s="708">
        <f t="shared" si="4"/>
        <v>15600</v>
      </c>
      <c r="N354" s="709">
        <v>2</v>
      </c>
      <c r="O354" s="709">
        <v>6</v>
      </c>
      <c r="P354" s="708">
        <f t="shared" si="5"/>
        <v>7800</v>
      </c>
    </row>
    <row r="355" spans="1:16" ht="24" x14ac:dyDescent="0.2">
      <c r="A355" s="702">
        <v>1316</v>
      </c>
      <c r="B355" s="211" t="s">
        <v>1639</v>
      </c>
      <c r="C355" s="514" t="s">
        <v>1444</v>
      </c>
      <c r="D355" s="703" t="s">
        <v>1640</v>
      </c>
      <c r="E355" s="704">
        <v>2300</v>
      </c>
      <c r="F355" s="705" t="s">
        <v>1809</v>
      </c>
      <c r="G355" s="706" t="s">
        <v>1810</v>
      </c>
      <c r="H355" s="707" t="s">
        <v>1643</v>
      </c>
      <c r="I355" s="211" t="s">
        <v>1644</v>
      </c>
      <c r="J355" s="211" t="s">
        <v>1645</v>
      </c>
      <c r="K355" s="514">
        <v>3</v>
      </c>
      <c r="L355" s="514">
        <v>12</v>
      </c>
      <c r="M355" s="708">
        <f t="shared" si="4"/>
        <v>27600</v>
      </c>
      <c r="N355" s="709">
        <v>2</v>
      </c>
      <c r="O355" s="709">
        <v>6</v>
      </c>
      <c r="P355" s="708">
        <f t="shared" si="5"/>
        <v>13800</v>
      </c>
    </row>
    <row r="356" spans="1:16" ht="12.75" x14ac:dyDescent="0.2">
      <c r="A356" s="702">
        <v>1316</v>
      </c>
      <c r="B356" s="211" t="s">
        <v>1639</v>
      </c>
      <c r="C356" s="514" t="s">
        <v>1444</v>
      </c>
      <c r="D356" s="703" t="s">
        <v>1811</v>
      </c>
      <c r="E356" s="704">
        <v>2300</v>
      </c>
      <c r="F356" s="705" t="s">
        <v>1812</v>
      </c>
      <c r="G356" s="706" t="s">
        <v>1813</v>
      </c>
      <c r="H356" s="703" t="s">
        <v>1811</v>
      </c>
      <c r="I356" s="211" t="s">
        <v>1644</v>
      </c>
      <c r="J356" s="211" t="s">
        <v>1645</v>
      </c>
      <c r="K356" s="514">
        <v>3</v>
      </c>
      <c r="L356" s="514">
        <v>12</v>
      </c>
      <c r="M356" s="708">
        <f t="shared" si="4"/>
        <v>27600</v>
      </c>
      <c r="N356" s="709">
        <v>2</v>
      </c>
      <c r="O356" s="709">
        <v>6</v>
      </c>
      <c r="P356" s="708">
        <f t="shared" si="5"/>
        <v>13800</v>
      </c>
    </row>
    <row r="357" spans="1:16" ht="24" x14ac:dyDescent="0.2">
      <c r="A357" s="702">
        <v>1316</v>
      </c>
      <c r="B357" s="211" t="s">
        <v>1639</v>
      </c>
      <c r="C357" s="514" t="s">
        <v>1444</v>
      </c>
      <c r="D357" s="703" t="s">
        <v>1651</v>
      </c>
      <c r="E357" s="704">
        <v>1300</v>
      </c>
      <c r="F357" s="705" t="s">
        <v>1814</v>
      </c>
      <c r="G357" s="706" t="s">
        <v>1815</v>
      </c>
      <c r="H357" s="703" t="s">
        <v>1651</v>
      </c>
      <c r="I357" s="211" t="s">
        <v>1654</v>
      </c>
      <c r="J357" s="211" t="s">
        <v>1655</v>
      </c>
      <c r="K357" s="514">
        <v>3</v>
      </c>
      <c r="L357" s="514">
        <v>12</v>
      </c>
      <c r="M357" s="708">
        <f t="shared" si="4"/>
        <v>15600</v>
      </c>
      <c r="N357" s="709">
        <v>2</v>
      </c>
      <c r="O357" s="709">
        <v>6</v>
      </c>
      <c r="P357" s="708">
        <f t="shared" si="5"/>
        <v>7800</v>
      </c>
    </row>
    <row r="358" spans="1:16" ht="24" x14ac:dyDescent="0.2">
      <c r="A358" s="702">
        <v>1316</v>
      </c>
      <c r="B358" s="211" t="s">
        <v>1639</v>
      </c>
      <c r="C358" s="514" t="s">
        <v>1444</v>
      </c>
      <c r="D358" s="703" t="s">
        <v>1646</v>
      </c>
      <c r="E358" s="704">
        <v>3200</v>
      </c>
      <c r="F358" s="705" t="s">
        <v>1816</v>
      </c>
      <c r="G358" s="706" t="s">
        <v>1817</v>
      </c>
      <c r="H358" s="707" t="s">
        <v>887</v>
      </c>
      <c r="I358" s="211" t="s">
        <v>1644</v>
      </c>
      <c r="J358" s="211" t="s">
        <v>1645</v>
      </c>
      <c r="K358" s="514">
        <v>3</v>
      </c>
      <c r="L358" s="514">
        <v>12</v>
      </c>
      <c r="M358" s="708">
        <f t="shared" si="4"/>
        <v>38400</v>
      </c>
      <c r="N358" s="709">
        <v>2</v>
      </c>
      <c r="O358" s="709">
        <v>6</v>
      </c>
      <c r="P358" s="708">
        <f t="shared" si="5"/>
        <v>19200</v>
      </c>
    </row>
    <row r="359" spans="1:16" ht="12.75" x14ac:dyDescent="0.2">
      <c r="A359" s="702">
        <v>1316</v>
      </c>
      <c r="B359" s="211" t="s">
        <v>1639</v>
      </c>
      <c r="C359" s="514" t="s">
        <v>1444</v>
      </c>
      <c r="D359" s="703" t="s">
        <v>1703</v>
      </c>
      <c r="E359" s="704">
        <v>5025</v>
      </c>
      <c r="F359" s="705" t="s">
        <v>1818</v>
      </c>
      <c r="G359" s="706" t="s">
        <v>1819</v>
      </c>
      <c r="H359" s="703" t="s">
        <v>1703</v>
      </c>
      <c r="I359" s="211" t="s">
        <v>1644</v>
      </c>
      <c r="J359" s="211" t="s">
        <v>1645</v>
      </c>
      <c r="K359" s="514">
        <v>2</v>
      </c>
      <c r="L359" s="514">
        <v>6</v>
      </c>
      <c r="M359" s="708">
        <f t="shared" si="4"/>
        <v>30150</v>
      </c>
      <c r="N359" s="709">
        <v>2</v>
      </c>
      <c r="O359" s="709">
        <v>6</v>
      </c>
      <c r="P359" s="708">
        <f t="shared" si="5"/>
        <v>30150</v>
      </c>
    </row>
    <row r="360" spans="1:16" ht="24" x14ac:dyDescent="0.2">
      <c r="A360" s="702">
        <v>1316</v>
      </c>
      <c r="B360" s="211" t="s">
        <v>1639</v>
      </c>
      <c r="C360" s="514" t="s">
        <v>1444</v>
      </c>
      <c r="D360" s="703" t="s">
        <v>1673</v>
      </c>
      <c r="E360" s="704">
        <v>2300</v>
      </c>
      <c r="F360" s="705" t="s">
        <v>1820</v>
      </c>
      <c r="G360" s="706" t="s">
        <v>1821</v>
      </c>
      <c r="H360" s="707" t="s">
        <v>1676</v>
      </c>
      <c r="I360" s="211" t="s">
        <v>1644</v>
      </c>
      <c r="J360" s="211" t="s">
        <v>1645</v>
      </c>
      <c r="K360" s="514">
        <v>3</v>
      </c>
      <c r="L360" s="514">
        <v>12</v>
      </c>
      <c r="M360" s="708">
        <f t="shared" si="4"/>
        <v>27600</v>
      </c>
      <c r="N360" s="709">
        <v>2</v>
      </c>
      <c r="O360" s="709">
        <v>6</v>
      </c>
      <c r="P360" s="708">
        <f t="shared" si="5"/>
        <v>13800</v>
      </c>
    </row>
    <row r="361" spans="1:16" ht="24" x14ac:dyDescent="0.2">
      <c r="A361" s="702">
        <v>1316</v>
      </c>
      <c r="B361" s="211" t="s">
        <v>1639</v>
      </c>
      <c r="C361" s="514" t="s">
        <v>1444</v>
      </c>
      <c r="D361" s="703" t="s">
        <v>1651</v>
      </c>
      <c r="E361" s="704">
        <v>1300</v>
      </c>
      <c r="F361" s="705" t="s">
        <v>1822</v>
      </c>
      <c r="G361" s="706" t="s">
        <v>1823</v>
      </c>
      <c r="H361" s="703" t="s">
        <v>1651</v>
      </c>
      <c r="I361" s="211" t="s">
        <v>1654</v>
      </c>
      <c r="J361" s="211" t="s">
        <v>1655</v>
      </c>
      <c r="K361" s="514">
        <v>3</v>
      </c>
      <c r="L361" s="514">
        <v>12</v>
      </c>
      <c r="M361" s="708">
        <f t="shared" si="4"/>
        <v>15600</v>
      </c>
      <c r="N361" s="709">
        <v>2</v>
      </c>
      <c r="O361" s="709">
        <v>6</v>
      </c>
      <c r="P361" s="708">
        <f t="shared" si="5"/>
        <v>7800</v>
      </c>
    </row>
    <row r="362" spans="1:16" ht="24" x14ac:dyDescent="0.2">
      <c r="A362" s="702">
        <v>1316</v>
      </c>
      <c r="B362" s="211" t="s">
        <v>1639</v>
      </c>
      <c r="C362" s="514" t="s">
        <v>1444</v>
      </c>
      <c r="D362" s="703" t="s">
        <v>1651</v>
      </c>
      <c r="E362" s="704">
        <v>1834</v>
      </c>
      <c r="F362" s="705" t="s">
        <v>1824</v>
      </c>
      <c r="G362" s="706" t="s">
        <v>1825</v>
      </c>
      <c r="H362" s="703" t="s">
        <v>1651</v>
      </c>
      <c r="I362" s="211" t="s">
        <v>1654</v>
      </c>
      <c r="J362" s="211" t="s">
        <v>1655</v>
      </c>
      <c r="K362" s="514">
        <v>2</v>
      </c>
      <c r="L362" s="514">
        <v>6</v>
      </c>
      <c r="M362" s="708">
        <f t="shared" si="4"/>
        <v>11004</v>
      </c>
      <c r="N362" s="709">
        <v>2</v>
      </c>
      <c r="O362" s="709">
        <v>6</v>
      </c>
      <c r="P362" s="708">
        <f t="shared" si="5"/>
        <v>11004</v>
      </c>
    </row>
    <row r="363" spans="1:16" ht="24" x14ac:dyDescent="0.2">
      <c r="A363" s="702">
        <v>1316</v>
      </c>
      <c r="B363" s="211" t="s">
        <v>1639</v>
      </c>
      <c r="C363" s="514" t="s">
        <v>1444</v>
      </c>
      <c r="D363" s="707" t="s">
        <v>947</v>
      </c>
      <c r="E363" s="704">
        <v>2300</v>
      </c>
      <c r="F363" s="705" t="s">
        <v>1826</v>
      </c>
      <c r="G363" s="706" t="s">
        <v>1827</v>
      </c>
      <c r="H363" s="707" t="s">
        <v>947</v>
      </c>
      <c r="I363" s="211" t="s">
        <v>1644</v>
      </c>
      <c r="J363" s="211" t="s">
        <v>1645</v>
      </c>
      <c r="K363" s="514">
        <v>3</v>
      </c>
      <c r="L363" s="514">
        <v>12</v>
      </c>
      <c r="M363" s="708">
        <f t="shared" si="4"/>
        <v>27600</v>
      </c>
      <c r="N363" s="709">
        <v>2</v>
      </c>
      <c r="O363" s="709">
        <v>6</v>
      </c>
      <c r="P363" s="708">
        <f t="shared" si="5"/>
        <v>13800</v>
      </c>
    </row>
    <row r="364" spans="1:16" ht="24" x14ac:dyDescent="0.2">
      <c r="A364" s="702">
        <v>1316</v>
      </c>
      <c r="B364" s="211" t="s">
        <v>1639</v>
      </c>
      <c r="C364" s="514" t="s">
        <v>1444</v>
      </c>
      <c r="D364" s="707" t="s">
        <v>1828</v>
      </c>
      <c r="E364" s="704">
        <v>2689</v>
      </c>
      <c r="F364" s="705" t="s">
        <v>1829</v>
      </c>
      <c r="G364" s="706" t="s">
        <v>1830</v>
      </c>
      <c r="H364" s="707" t="s">
        <v>1831</v>
      </c>
      <c r="I364" s="211" t="s">
        <v>1644</v>
      </c>
      <c r="J364" s="211" t="s">
        <v>1645</v>
      </c>
      <c r="K364" s="514">
        <v>1</v>
      </c>
      <c r="L364" s="514">
        <v>2</v>
      </c>
      <c r="M364" s="708">
        <f t="shared" si="4"/>
        <v>5378</v>
      </c>
      <c r="N364" s="709">
        <v>2</v>
      </c>
      <c r="O364" s="709">
        <v>6</v>
      </c>
      <c r="P364" s="708">
        <f t="shared" si="5"/>
        <v>16134</v>
      </c>
    </row>
    <row r="365" spans="1:16" ht="24" x14ac:dyDescent="0.2">
      <c r="A365" s="702">
        <v>1316</v>
      </c>
      <c r="B365" s="211" t="s">
        <v>1639</v>
      </c>
      <c r="C365" s="514" t="s">
        <v>1444</v>
      </c>
      <c r="D365" s="703" t="s">
        <v>1656</v>
      </c>
      <c r="E365" s="704">
        <v>1300</v>
      </c>
      <c r="F365" s="705" t="s">
        <v>1832</v>
      </c>
      <c r="G365" s="706" t="s">
        <v>1833</v>
      </c>
      <c r="H365" s="703" t="s">
        <v>1656</v>
      </c>
      <c r="I365" s="211" t="s">
        <v>1654</v>
      </c>
      <c r="J365" s="211" t="s">
        <v>1655</v>
      </c>
      <c r="K365" s="514">
        <v>3</v>
      </c>
      <c r="L365" s="514">
        <v>12</v>
      </c>
      <c r="M365" s="708">
        <f t="shared" si="4"/>
        <v>15600</v>
      </c>
      <c r="N365" s="709">
        <v>2</v>
      </c>
      <c r="O365" s="709">
        <v>6</v>
      </c>
      <c r="P365" s="708">
        <f t="shared" si="5"/>
        <v>7800</v>
      </c>
    </row>
    <row r="366" spans="1:16" ht="12.75" x14ac:dyDescent="0.2">
      <c r="A366" s="702">
        <v>1316</v>
      </c>
      <c r="B366" s="211" t="s">
        <v>1639</v>
      </c>
      <c r="C366" s="514" t="s">
        <v>1444</v>
      </c>
      <c r="D366" s="703" t="s">
        <v>1834</v>
      </c>
      <c r="E366" s="704">
        <v>5025</v>
      </c>
      <c r="F366" s="705" t="s">
        <v>1835</v>
      </c>
      <c r="G366" s="706" t="s">
        <v>1836</v>
      </c>
      <c r="H366" s="703" t="s">
        <v>1703</v>
      </c>
      <c r="I366" s="211" t="s">
        <v>1644</v>
      </c>
      <c r="J366" s="211" t="s">
        <v>1645</v>
      </c>
      <c r="K366" s="514">
        <v>0</v>
      </c>
      <c r="L366" s="514">
        <v>0</v>
      </c>
      <c r="M366" s="211">
        <v>0</v>
      </c>
      <c r="N366" s="709">
        <v>1</v>
      </c>
      <c r="O366" s="709">
        <v>1</v>
      </c>
      <c r="P366" s="708">
        <f t="shared" si="5"/>
        <v>5025</v>
      </c>
    </row>
    <row r="367" spans="1:16" ht="36" x14ac:dyDescent="0.2">
      <c r="A367" s="702">
        <v>1316</v>
      </c>
      <c r="B367" s="211" t="s">
        <v>1639</v>
      </c>
      <c r="C367" s="514" t="s">
        <v>1444</v>
      </c>
      <c r="D367" s="707" t="s">
        <v>1659</v>
      </c>
      <c r="E367" s="704">
        <v>1000</v>
      </c>
      <c r="F367" s="705" t="s">
        <v>1837</v>
      </c>
      <c r="G367" s="706" t="s">
        <v>1838</v>
      </c>
      <c r="H367" s="707" t="s">
        <v>1659</v>
      </c>
      <c r="I367" s="211" t="s">
        <v>1662</v>
      </c>
      <c r="J367" s="211" t="s">
        <v>1663</v>
      </c>
      <c r="K367" s="514">
        <v>3</v>
      </c>
      <c r="L367" s="514">
        <v>12</v>
      </c>
      <c r="M367" s="708">
        <f>L367*E367</f>
        <v>12000</v>
      </c>
      <c r="N367" s="709">
        <v>2</v>
      </c>
      <c r="O367" s="709">
        <v>6</v>
      </c>
      <c r="P367" s="708">
        <f t="shared" si="5"/>
        <v>6000</v>
      </c>
    </row>
    <row r="368" spans="1:16" ht="12.75" x14ac:dyDescent="0.2">
      <c r="A368" s="702">
        <v>1316</v>
      </c>
      <c r="B368" s="211" t="s">
        <v>1639</v>
      </c>
      <c r="C368" s="514" t="s">
        <v>1444</v>
      </c>
      <c r="D368" s="703" t="s">
        <v>1703</v>
      </c>
      <c r="E368" s="704">
        <v>5025</v>
      </c>
      <c r="F368" s="705" t="s">
        <v>1839</v>
      </c>
      <c r="G368" s="706" t="s">
        <v>1840</v>
      </c>
      <c r="H368" s="703" t="s">
        <v>1703</v>
      </c>
      <c r="I368" s="211" t="s">
        <v>1644</v>
      </c>
      <c r="J368" s="211" t="s">
        <v>1645</v>
      </c>
      <c r="K368" s="514">
        <v>2</v>
      </c>
      <c r="L368" s="514">
        <v>6</v>
      </c>
      <c r="M368" s="708">
        <f>L368*E368</f>
        <v>30150</v>
      </c>
      <c r="N368" s="709">
        <v>2</v>
      </c>
      <c r="O368" s="709">
        <v>6</v>
      </c>
      <c r="P368" s="708">
        <f t="shared" si="5"/>
        <v>30150</v>
      </c>
    </row>
    <row r="369" spans="1:16" ht="24" x14ac:dyDescent="0.2">
      <c r="A369" s="702">
        <v>1316</v>
      </c>
      <c r="B369" s="211" t="s">
        <v>1639</v>
      </c>
      <c r="C369" s="514" t="s">
        <v>1444</v>
      </c>
      <c r="D369" s="703" t="s">
        <v>947</v>
      </c>
      <c r="E369" s="704">
        <v>3500</v>
      </c>
      <c r="F369" s="705" t="s">
        <v>1841</v>
      </c>
      <c r="G369" s="706" t="s">
        <v>1842</v>
      </c>
      <c r="H369" s="703" t="s">
        <v>947</v>
      </c>
      <c r="I369" s="211" t="s">
        <v>1644</v>
      </c>
      <c r="J369" s="211" t="s">
        <v>1645</v>
      </c>
      <c r="K369" s="514">
        <v>0</v>
      </c>
      <c r="L369" s="514">
        <v>0</v>
      </c>
      <c r="M369" s="211">
        <v>0</v>
      </c>
      <c r="N369" s="709">
        <v>1</v>
      </c>
      <c r="O369" s="709">
        <v>1</v>
      </c>
      <c r="P369" s="708">
        <f t="shared" si="5"/>
        <v>3500</v>
      </c>
    </row>
    <row r="370" spans="1:16" ht="24" x14ac:dyDescent="0.2">
      <c r="A370" s="702">
        <v>1316</v>
      </c>
      <c r="B370" s="211" t="s">
        <v>1639</v>
      </c>
      <c r="C370" s="514" t="s">
        <v>1444</v>
      </c>
      <c r="D370" s="703" t="s">
        <v>1651</v>
      </c>
      <c r="E370" s="704">
        <v>1300</v>
      </c>
      <c r="F370" s="705" t="s">
        <v>1843</v>
      </c>
      <c r="G370" s="706" t="s">
        <v>1844</v>
      </c>
      <c r="H370" s="703" t="s">
        <v>1651</v>
      </c>
      <c r="I370" s="211" t="s">
        <v>1654</v>
      </c>
      <c r="J370" s="211" t="s">
        <v>1655</v>
      </c>
      <c r="K370" s="514">
        <v>3</v>
      </c>
      <c r="L370" s="514">
        <v>12</v>
      </c>
      <c r="M370" s="708">
        <f t="shared" ref="M370:M376" si="6">L370*E370</f>
        <v>15600</v>
      </c>
      <c r="N370" s="709">
        <v>2</v>
      </c>
      <c r="O370" s="709">
        <v>6</v>
      </c>
      <c r="P370" s="708">
        <f t="shared" si="5"/>
        <v>7800</v>
      </c>
    </row>
    <row r="371" spans="1:16" ht="24" x14ac:dyDescent="0.2">
      <c r="A371" s="702">
        <v>1316</v>
      </c>
      <c r="B371" s="211" t="s">
        <v>1639</v>
      </c>
      <c r="C371" s="514" t="s">
        <v>1444</v>
      </c>
      <c r="D371" s="703" t="s">
        <v>1651</v>
      </c>
      <c r="E371" s="704">
        <v>1300</v>
      </c>
      <c r="F371" s="705" t="s">
        <v>1845</v>
      </c>
      <c r="G371" s="706" t="s">
        <v>1846</v>
      </c>
      <c r="H371" s="703" t="s">
        <v>1651</v>
      </c>
      <c r="I371" s="211" t="s">
        <v>1654</v>
      </c>
      <c r="J371" s="211" t="s">
        <v>1655</v>
      </c>
      <c r="K371" s="514">
        <v>3</v>
      </c>
      <c r="L371" s="514">
        <v>12</v>
      </c>
      <c r="M371" s="708">
        <f t="shared" si="6"/>
        <v>15600</v>
      </c>
      <c r="N371" s="709">
        <v>2</v>
      </c>
      <c r="O371" s="709">
        <v>6</v>
      </c>
      <c r="P371" s="708">
        <f t="shared" si="5"/>
        <v>7800</v>
      </c>
    </row>
    <row r="372" spans="1:16" ht="24" x14ac:dyDescent="0.2">
      <c r="A372" s="702">
        <v>1316</v>
      </c>
      <c r="B372" s="211" t="s">
        <v>1639</v>
      </c>
      <c r="C372" s="514" t="s">
        <v>1444</v>
      </c>
      <c r="D372" s="703" t="s">
        <v>1651</v>
      </c>
      <c r="E372" s="704">
        <v>1300</v>
      </c>
      <c r="F372" s="705" t="s">
        <v>1847</v>
      </c>
      <c r="G372" s="706" t="s">
        <v>1848</v>
      </c>
      <c r="H372" s="703" t="s">
        <v>1651</v>
      </c>
      <c r="I372" s="211" t="s">
        <v>1654</v>
      </c>
      <c r="J372" s="211" t="s">
        <v>1655</v>
      </c>
      <c r="K372" s="514">
        <v>3</v>
      </c>
      <c r="L372" s="514">
        <v>12</v>
      </c>
      <c r="M372" s="708">
        <f t="shared" si="6"/>
        <v>15600</v>
      </c>
      <c r="N372" s="709">
        <v>2</v>
      </c>
      <c r="O372" s="709">
        <v>6</v>
      </c>
      <c r="P372" s="708">
        <f t="shared" si="5"/>
        <v>7800</v>
      </c>
    </row>
    <row r="373" spans="1:16" ht="24" x14ac:dyDescent="0.2">
      <c r="A373" s="702">
        <v>1316</v>
      </c>
      <c r="B373" s="211" t="s">
        <v>1639</v>
      </c>
      <c r="C373" s="514" t="s">
        <v>1444</v>
      </c>
      <c r="D373" s="707" t="s">
        <v>695</v>
      </c>
      <c r="E373" s="704">
        <v>2000</v>
      </c>
      <c r="F373" s="705" t="s">
        <v>1849</v>
      </c>
      <c r="G373" s="706" t="s">
        <v>1850</v>
      </c>
      <c r="H373" s="707" t="s">
        <v>1697</v>
      </c>
      <c r="I373" s="211" t="s">
        <v>1644</v>
      </c>
      <c r="J373" s="211" t="s">
        <v>1645</v>
      </c>
      <c r="K373" s="514">
        <v>3</v>
      </c>
      <c r="L373" s="514">
        <v>12</v>
      </c>
      <c r="M373" s="708">
        <f t="shared" si="6"/>
        <v>24000</v>
      </c>
      <c r="N373" s="709">
        <v>2</v>
      </c>
      <c r="O373" s="709">
        <v>6</v>
      </c>
      <c r="P373" s="708">
        <f t="shared" si="5"/>
        <v>12000</v>
      </c>
    </row>
    <row r="374" spans="1:16" ht="36" x14ac:dyDescent="0.2">
      <c r="A374" s="702">
        <v>1316</v>
      </c>
      <c r="B374" s="211" t="s">
        <v>1639</v>
      </c>
      <c r="C374" s="514" t="s">
        <v>1444</v>
      </c>
      <c r="D374" s="703" t="s">
        <v>1851</v>
      </c>
      <c r="E374" s="704">
        <v>1000</v>
      </c>
      <c r="F374" s="705" t="s">
        <v>1852</v>
      </c>
      <c r="G374" s="706" t="s">
        <v>1853</v>
      </c>
      <c r="H374" s="703" t="s">
        <v>1854</v>
      </c>
      <c r="I374" s="211" t="s">
        <v>1662</v>
      </c>
      <c r="J374" s="211" t="s">
        <v>1663</v>
      </c>
      <c r="K374" s="514">
        <v>3</v>
      </c>
      <c r="L374" s="514">
        <v>12</v>
      </c>
      <c r="M374" s="708">
        <f t="shared" si="6"/>
        <v>12000</v>
      </c>
      <c r="N374" s="709">
        <v>2</v>
      </c>
      <c r="O374" s="709">
        <v>6</v>
      </c>
      <c r="P374" s="708">
        <f t="shared" si="5"/>
        <v>6000</v>
      </c>
    </row>
    <row r="375" spans="1:16" ht="24" x14ac:dyDescent="0.2">
      <c r="A375" s="702">
        <v>1316</v>
      </c>
      <c r="B375" s="211" t="s">
        <v>1639</v>
      </c>
      <c r="C375" s="514" t="s">
        <v>1444</v>
      </c>
      <c r="D375" s="703" t="s">
        <v>1640</v>
      </c>
      <c r="E375" s="704">
        <v>2300</v>
      </c>
      <c r="F375" s="705" t="s">
        <v>1855</v>
      </c>
      <c r="G375" s="706" t="s">
        <v>1856</v>
      </c>
      <c r="H375" s="707" t="s">
        <v>1643</v>
      </c>
      <c r="I375" s="211" t="s">
        <v>1644</v>
      </c>
      <c r="J375" s="211" t="s">
        <v>1645</v>
      </c>
      <c r="K375" s="514">
        <v>3</v>
      </c>
      <c r="L375" s="514">
        <v>12</v>
      </c>
      <c r="M375" s="708">
        <f t="shared" si="6"/>
        <v>27600</v>
      </c>
      <c r="N375" s="709">
        <v>2</v>
      </c>
      <c r="O375" s="709">
        <v>6</v>
      </c>
      <c r="P375" s="708">
        <f t="shared" si="5"/>
        <v>13800</v>
      </c>
    </row>
    <row r="376" spans="1:16" ht="24" x14ac:dyDescent="0.2">
      <c r="A376" s="702">
        <v>1316</v>
      </c>
      <c r="B376" s="211" t="s">
        <v>1639</v>
      </c>
      <c r="C376" s="514" t="s">
        <v>1444</v>
      </c>
      <c r="D376" s="707" t="s">
        <v>1673</v>
      </c>
      <c r="E376" s="704">
        <v>2000</v>
      </c>
      <c r="F376" s="705" t="s">
        <v>1857</v>
      </c>
      <c r="G376" s="706" t="s">
        <v>1858</v>
      </c>
      <c r="H376" s="707" t="s">
        <v>1676</v>
      </c>
      <c r="I376" s="211" t="s">
        <v>1644</v>
      </c>
      <c r="J376" s="211" t="s">
        <v>1645</v>
      </c>
      <c r="K376" s="514">
        <v>3</v>
      </c>
      <c r="L376" s="514">
        <v>12</v>
      </c>
      <c r="M376" s="708">
        <f t="shared" si="6"/>
        <v>24000</v>
      </c>
      <c r="N376" s="709">
        <v>2</v>
      </c>
      <c r="O376" s="709">
        <v>6</v>
      </c>
      <c r="P376" s="708">
        <f t="shared" si="5"/>
        <v>12000</v>
      </c>
    </row>
    <row r="377" spans="1:16" ht="24" x14ac:dyDescent="0.2">
      <c r="A377" s="702">
        <v>1316</v>
      </c>
      <c r="B377" s="211" t="s">
        <v>1639</v>
      </c>
      <c r="C377" s="514" t="s">
        <v>1444</v>
      </c>
      <c r="D377" s="703" t="s">
        <v>1640</v>
      </c>
      <c r="E377" s="704">
        <v>2689</v>
      </c>
      <c r="F377" s="705" t="s">
        <v>1859</v>
      </c>
      <c r="G377" s="706" t="s">
        <v>1860</v>
      </c>
      <c r="H377" s="707" t="s">
        <v>1643</v>
      </c>
      <c r="I377" s="211" t="s">
        <v>1644</v>
      </c>
      <c r="J377" s="211" t="s">
        <v>1645</v>
      </c>
      <c r="K377" s="514">
        <v>0</v>
      </c>
      <c r="L377" s="514">
        <v>0</v>
      </c>
      <c r="M377" s="211">
        <v>0</v>
      </c>
      <c r="N377" s="709">
        <v>1</v>
      </c>
      <c r="O377" s="709">
        <v>1</v>
      </c>
      <c r="P377" s="708">
        <f t="shared" si="5"/>
        <v>2689</v>
      </c>
    </row>
    <row r="378" spans="1:16" ht="36" x14ac:dyDescent="0.2">
      <c r="A378" s="702">
        <v>1316</v>
      </c>
      <c r="B378" s="211" t="s">
        <v>1639</v>
      </c>
      <c r="C378" s="514" t="s">
        <v>1444</v>
      </c>
      <c r="D378" s="703" t="s">
        <v>1659</v>
      </c>
      <c r="E378" s="704">
        <v>1000</v>
      </c>
      <c r="F378" s="705" t="s">
        <v>1861</v>
      </c>
      <c r="G378" s="706" t="s">
        <v>1862</v>
      </c>
      <c r="H378" s="703" t="s">
        <v>1659</v>
      </c>
      <c r="I378" s="211" t="s">
        <v>1662</v>
      </c>
      <c r="J378" s="211" t="s">
        <v>1663</v>
      </c>
      <c r="K378" s="514">
        <v>3</v>
      </c>
      <c r="L378" s="514">
        <v>12</v>
      </c>
      <c r="M378" s="708">
        <f t="shared" ref="M378:M393" si="7">L378*E378</f>
        <v>12000</v>
      </c>
      <c r="N378" s="709">
        <v>2</v>
      </c>
      <c r="O378" s="709">
        <v>6</v>
      </c>
      <c r="P378" s="708">
        <f t="shared" si="5"/>
        <v>6000</v>
      </c>
    </row>
    <row r="379" spans="1:16" ht="24" x14ac:dyDescent="0.2">
      <c r="A379" s="702">
        <v>1316</v>
      </c>
      <c r="B379" s="211" t="s">
        <v>1639</v>
      </c>
      <c r="C379" s="514" t="s">
        <v>1444</v>
      </c>
      <c r="D379" s="703" t="s">
        <v>1673</v>
      </c>
      <c r="E379" s="704">
        <v>2300</v>
      </c>
      <c r="F379" s="705" t="s">
        <v>1863</v>
      </c>
      <c r="G379" s="706" t="s">
        <v>1864</v>
      </c>
      <c r="H379" s="707" t="s">
        <v>1676</v>
      </c>
      <c r="I379" s="211" t="s">
        <v>1644</v>
      </c>
      <c r="J379" s="211" t="s">
        <v>1645</v>
      </c>
      <c r="K379" s="514">
        <v>3</v>
      </c>
      <c r="L379" s="514">
        <v>12</v>
      </c>
      <c r="M379" s="708">
        <f t="shared" si="7"/>
        <v>27600</v>
      </c>
      <c r="N379" s="709">
        <v>2</v>
      </c>
      <c r="O379" s="709">
        <v>6</v>
      </c>
      <c r="P379" s="708">
        <f t="shared" si="5"/>
        <v>13800</v>
      </c>
    </row>
    <row r="380" spans="1:16" ht="24" x14ac:dyDescent="0.2">
      <c r="A380" s="702">
        <v>1316</v>
      </c>
      <c r="B380" s="211" t="s">
        <v>1639</v>
      </c>
      <c r="C380" s="514" t="s">
        <v>1444</v>
      </c>
      <c r="D380" s="703" t="s">
        <v>1640</v>
      </c>
      <c r="E380" s="704">
        <v>2000</v>
      </c>
      <c r="F380" s="705" t="s">
        <v>1865</v>
      </c>
      <c r="G380" s="706" t="s">
        <v>1866</v>
      </c>
      <c r="H380" s="707" t="s">
        <v>1643</v>
      </c>
      <c r="I380" s="211" t="s">
        <v>1644</v>
      </c>
      <c r="J380" s="211" t="s">
        <v>1645</v>
      </c>
      <c r="K380" s="514">
        <v>3</v>
      </c>
      <c r="L380" s="514">
        <v>12</v>
      </c>
      <c r="M380" s="708">
        <f t="shared" si="7"/>
        <v>24000</v>
      </c>
      <c r="N380" s="709">
        <v>2</v>
      </c>
      <c r="O380" s="709">
        <v>6</v>
      </c>
      <c r="P380" s="708">
        <f t="shared" si="5"/>
        <v>12000</v>
      </c>
    </row>
    <row r="381" spans="1:16" ht="12.75" x14ac:dyDescent="0.2">
      <c r="A381" s="702">
        <v>1316</v>
      </c>
      <c r="B381" s="211" t="s">
        <v>1639</v>
      </c>
      <c r="C381" s="514" t="s">
        <v>1444</v>
      </c>
      <c r="D381" s="703" t="s">
        <v>1703</v>
      </c>
      <c r="E381" s="704">
        <v>3500</v>
      </c>
      <c r="F381" s="705" t="s">
        <v>1867</v>
      </c>
      <c r="G381" s="706" t="s">
        <v>1868</v>
      </c>
      <c r="H381" s="703" t="s">
        <v>1703</v>
      </c>
      <c r="I381" s="211" t="s">
        <v>1644</v>
      </c>
      <c r="J381" s="211" t="s">
        <v>1645</v>
      </c>
      <c r="K381" s="514">
        <v>3</v>
      </c>
      <c r="L381" s="514">
        <v>12</v>
      </c>
      <c r="M381" s="708">
        <f t="shared" si="7"/>
        <v>42000</v>
      </c>
      <c r="N381" s="709">
        <v>2</v>
      </c>
      <c r="O381" s="709">
        <v>6</v>
      </c>
      <c r="P381" s="708">
        <f t="shared" si="5"/>
        <v>21000</v>
      </c>
    </row>
    <row r="382" spans="1:16" ht="24" x14ac:dyDescent="0.2">
      <c r="A382" s="702">
        <v>1316</v>
      </c>
      <c r="B382" s="211" t="s">
        <v>1639</v>
      </c>
      <c r="C382" s="514" t="s">
        <v>1444</v>
      </c>
      <c r="D382" s="703" t="s">
        <v>1673</v>
      </c>
      <c r="E382" s="704">
        <v>2300</v>
      </c>
      <c r="F382" s="705" t="s">
        <v>1869</v>
      </c>
      <c r="G382" s="706" t="s">
        <v>1870</v>
      </c>
      <c r="H382" s="707" t="s">
        <v>1676</v>
      </c>
      <c r="I382" s="211" t="s">
        <v>1644</v>
      </c>
      <c r="J382" s="211" t="s">
        <v>1645</v>
      </c>
      <c r="K382" s="514">
        <v>3</v>
      </c>
      <c r="L382" s="514">
        <v>12</v>
      </c>
      <c r="M382" s="708">
        <f t="shared" si="7"/>
        <v>27600</v>
      </c>
      <c r="N382" s="709">
        <v>2</v>
      </c>
      <c r="O382" s="709">
        <v>6</v>
      </c>
      <c r="P382" s="708">
        <f t="shared" si="5"/>
        <v>13800</v>
      </c>
    </row>
    <row r="383" spans="1:16" ht="24" x14ac:dyDescent="0.2">
      <c r="A383" s="702">
        <v>1316</v>
      </c>
      <c r="B383" s="211" t="s">
        <v>1639</v>
      </c>
      <c r="C383" s="514" t="s">
        <v>1444</v>
      </c>
      <c r="D383" s="707" t="s">
        <v>1744</v>
      </c>
      <c r="E383" s="704">
        <v>2689</v>
      </c>
      <c r="F383" s="705" t="s">
        <v>1871</v>
      </c>
      <c r="G383" s="706" t="s">
        <v>1872</v>
      </c>
      <c r="H383" s="707" t="s">
        <v>1747</v>
      </c>
      <c r="I383" s="211" t="s">
        <v>1644</v>
      </c>
      <c r="J383" s="211" t="s">
        <v>1645</v>
      </c>
      <c r="K383" s="514">
        <v>3</v>
      </c>
      <c r="L383" s="514">
        <v>12</v>
      </c>
      <c r="M383" s="708">
        <f t="shared" si="7"/>
        <v>32268</v>
      </c>
      <c r="N383" s="709">
        <v>2</v>
      </c>
      <c r="O383" s="709">
        <v>6</v>
      </c>
      <c r="P383" s="708">
        <f t="shared" si="5"/>
        <v>16134</v>
      </c>
    </row>
    <row r="384" spans="1:16" ht="36" x14ac:dyDescent="0.2">
      <c r="A384" s="702">
        <v>1316</v>
      </c>
      <c r="B384" s="211" t="s">
        <v>1639</v>
      </c>
      <c r="C384" s="514" t="s">
        <v>1444</v>
      </c>
      <c r="D384" s="703" t="s">
        <v>1851</v>
      </c>
      <c r="E384" s="704">
        <v>1000</v>
      </c>
      <c r="F384" s="705" t="s">
        <v>1873</v>
      </c>
      <c r="G384" s="706" t="s">
        <v>1874</v>
      </c>
      <c r="H384" s="703" t="s">
        <v>1854</v>
      </c>
      <c r="I384" s="211" t="s">
        <v>1662</v>
      </c>
      <c r="J384" s="211" t="s">
        <v>1663</v>
      </c>
      <c r="K384" s="514">
        <v>3</v>
      </c>
      <c r="L384" s="514">
        <v>12</v>
      </c>
      <c r="M384" s="708">
        <f t="shared" si="7"/>
        <v>12000</v>
      </c>
      <c r="N384" s="709">
        <v>2</v>
      </c>
      <c r="O384" s="709">
        <v>6</v>
      </c>
      <c r="P384" s="708">
        <f t="shared" si="5"/>
        <v>6000</v>
      </c>
    </row>
    <row r="385" spans="1:16" ht="12.75" x14ac:dyDescent="0.2">
      <c r="A385" s="702">
        <v>1316</v>
      </c>
      <c r="B385" s="211" t="s">
        <v>1639</v>
      </c>
      <c r="C385" s="514" t="s">
        <v>1444</v>
      </c>
      <c r="D385" s="703" t="s">
        <v>1703</v>
      </c>
      <c r="E385" s="704">
        <v>3500</v>
      </c>
      <c r="F385" s="705" t="s">
        <v>1875</v>
      </c>
      <c r="G385" s="706" t="s">
        <v>1876</v>
      </c>
      <c r="H385" s="703" t="s">
        <v>1703</v>
      </c>
      <c r="I385" s="211" t="s">
        <v>1644</v>
      </c>
      <c r="J385" s="211" t="s">
        <v>1645</v>
      </c>
      <c r="K385" s="514">
        <v>3</v>
      </c>
      <c r="L385" s="514">
        <v>12</v>
      </c>
      <c r="M385" s="708">
        <f t="shared" si="7"/>
        <v>42000</v>
      </c>
      <c r="N385" s="709">
        <v>2</v>
      </c>
      <c r="O385" s="709">
        <v>6</v>
      </c>
      <c r="P385" s="708">
        <f t="shared" si="5"/>
        <v>21000</v>
      </c>
    </row>
    <row r="386" spans="1:16" ht="24" x14ac:dyDescent="0.2">
      <c r="A386" s="702">
        <v>1316</v>
      </c>
      <c r="B386" s="211" t="s">
        <v>1639</v>
      </c>
      <c r="C386" s="514" t="s">
        <v>1444</v>
      </c>
      <c r="D386" s="703" t="s">
        <v>1640</v>
      </c>
      <c r="E386" s="704">
        <v>2000</v>
      </c>
      <c r="F386" s="705" t="s">
        <v>1877</v>
      </c>
      <c r="G386" s="706" t="s">
        <v>1878</v>
      </c>
      <c r="H386" s="707" t="s">
        <v>1643</v>
      </c>
      <c r="I386" s="211" t="s">
        <v>1644</v>
      </c>
      <c r="J386" s="211" t="s">
        <v>1645</v>
      </c>
      <c r="K386" s="514">
        <v>3</v>
      </c>
      <c r="L386" s="514">
        <v>12</v>
      </c>
      <c r="M386" s="708">
        <f t="shared" si="7"/>
        <v>24000</v>
      </c>
      <c r="N386" s="709">
        <v>2</v>
      </c>
      <c r="O386" s="709">
        <v>6</v>
      </c>
      <c r="P386" s="708">
        <f t="shared" si="5"/>
        <v>12000</v>
      </c>
    </row>
    <row r="387" spans="1:16" ht="12.75" x14ac:dyDescent="0.2">
      <c r="A387" s="702">
        <v>1316</v>
      </c>
      <c r="B387" s="211" t="s">
        <v>1639</v>
      </c>
      <c r="C387" s="514" t="s">
        <v>1444</v>
      </c>
      <c r="D387" s="707" t="s">
        <v>1879</v>
      </c>
      <c r="E387" s="704">
        <v>5025</v>
      </c>
      <c r="F387" s="705" t="s">
        <v>1880</v>
      </c>
      <c r="G387" s="706" t="s">
        <v>1881</v>
      </c>
      <c r="H387" s="703" t="s">
        <v>1703</v>
      </c>
      <c r="I387" s="211" t="s">
        <v>1644</v>
      </c>
      <c r="J387" s="211" t="s">
        <v>1645</v>
      </c>
      <c r="K387" s="514">
        <v>1</v>
      </c>
      <c r="L387" s="514">
        <v>2</v>
      </c>
      <c r="M387" s="708">
        <f t="shared" si="7"/>
        <v>10050</v>
      </c>
      <c r="N387" s="709">
        <v>2</v>
      </c>
      <c r="O387" s="709">
        <v>6</v>
      </c>
      <c r="P387" s="708">
        <f t="shared" si="5"/>
        <v>30150</v>
      </c>
    </row>
    <row r="388" spans="1:16" ht="24" x14ac:dyDescent="0.2">
      <c r="A388" s="702">
        <v>1316</v>
      </c>
      <c r="B388" s="211" t="s">
        <v>1639</v>
      </c>
      <c r="C388" s="514" t="s">
        <v>1444</v>
      </c>
      <c r="D388" s="703" t="s">
        <v>613</v>
      </c>
      <c r="E388" s="704">
        <v>1834</v>
      </c>
      <c r="F388" s="705" t="s">
        <v>1882</v>
      </c>
      <c r="G388" s="706" t="s">
        <v>1883</v>
      </c>
      <c r="H388" s="703" t="s">
        <v>613</v>
      </c>
      <c r="I388" s="211" t="s">
        <v>1654</v>
      </c>
      <c r="J388" s="211" t="s">
        <v>1655</v>
      </c>
      <c r="K388" s="514">
        <v>2</v>
      </c>
      <c r="L388" s="514">
        <v>6</v>
      </c>
      <c r="M388" s="708">
        <f t="shared" si="7"/>
        <v>11004</v>
      </c>
      <c r="N388" s="709">
        <v>2</v>
      </c>
      <c r="O388" s="709">
        <v>6</v>
      </c>
      <c r="P388" s="708">
        <f t="shared" si="5"/>
        <v>11004</v>
      </c>
    </row>
    <row r="389" spans="1:16" ht="24" x14ac:dyDescent="0.2">
      <c r="A389" s="702">
        <v>1316</v>
      </c>
      <c r="B389" s="211" t="s">
        <v>1639</v>
      </c>
      <c r="C389" s="514" t="s">
        <v>1444</v>
      </c>
      <c r="D389" s="707" t="s">
        <v>1744</v>
      </c>
      <c r="E389" s="704">
        <v>2000</v>
      </c>
      <c r="F389" s="705" t="s">
        <v>1884</v>
      </c>
      <c r="G389" s="706" t="s">
        <v>1885</v>
      </c>
      <c r="H389" s="707" t="s">
        <v>1747</v>
      </c>
      <c r="I389" s="211" t="s">
        <v>1644</v>
      </c>
      <c r="J389" s="211" t="s">
        <v>1645</v>
      </c>
      <c r="K389" s="514">
        <v>3</v>
      </c>
      <c r="L389" s="514">
        <v>12</v>
      </c>
      <c r="M389" s="708">
        <f t="shared" si="7"/>
        <v>24000</v>
      </c>
      <c r="N389" s="709">
        <v>2</v>
      </c>
      <c r="O389" s="709">
        <v>6</v>
      </c>
      <c r="P389" s="708">
        <f t="shared" si="5"/>
        <v>12000</v>
      </c>
    </row>
    <row r="390" spans="1:16" ht="24" x14ac:dyDescent="0.2">
      <c r="A390" s="702">
        <v>1316</v>
      </c>
      <c r="B390" s="211" t="s">
        <v>1639</v>
      </c>
      <c r="C390" s="514" t="s">
        <v>1444</v>
      </c>
      <c r="D390" s="703" t="s">
        <v>1673</v>
      </c>
      <c r="E390" s="704">
        <v>2300</v>
      </c>
      <c r="F390" s="705" t="s">
        <v>1886</v>
      </c>
      <c r="G390" s="706" t="s">
        <v>1887</v>
      </c>
      <c r="H390" s="707" t="s">
        <v>1676</v>
      </c>
      <c r="I390" s="211" t="s">
        <v>1644</v>
      </c>
      <c r="J390" s="211" t="s">
        <v>1645</v>
      </c>
      <c r="K390" s="514">
        <v>3</v>
      </c>
      <c r="L390" s="514">
        <v>12</v>
      </c>
      <c r="M390" s="708">
        <f t="shared" si="7"/>
        <v>27600</v>
      </c>
      <c r="N390" s="709">
        <v>2</v>
      </c>
      <c r="O390" s="709">
        <v>6</v>
      </c>
      <c r="P390" s="708">
        <f t="shared" si="5"/>
        <v>13800</v>
      </c>
    </row>
    <row r="391" spans="1:16" ht="36" x14ac:dyDescent="0.2">
      <c r="A391" s="702">
        <v>1316</v>
      </c>
      <c r="B391" s="211" t="s">
        <v>1639</v>
      </c>
      <c r="C391" s="514" t="s">
        <v>1444</v>
      </c>
      <c r="D391" s="703" t="s">
        <v>1659</v>
      </c>
      <c r="E391" s="704">
        <v>1000</v>
      </c>
      <c r="F391" s="705" t="s">
        <v>1888</v>
      </c>
      <c r="G391" s="706" t="s">
        <v>1889</v>
      </c>
      <c r="H391" s="703" t="s">
        <v>1659</v>
      </c>
      <c r="I391" s="211" t="s">
        <v>1662</v>
      </c>
      <c r="J391" s="211" t="s">
        <v>1663</v>
      </c>
      <c r="K391" s="514">
        <v>3</v>
      </c>
      <c r="L391" s="514">
        <v>12</v>
      </c>
      <c r="M391" s="708">
        <f t="shared" si="7"/>
        <v>12000</v>
      </c>
      <c r="N391" s="709">
        <v>2</v>
      </c>
      <c r="O391" s="709">
        <v>6</v>
      </c>
      <c r="P391" s="708">
        <f t="shared" si="5"/>
        <v>6000</v>
      </c>
    </row>
    <row r="392" spans="1:16" ht="24" x14ac:dyDescent="0.2">
      <c r="A392" s="702">
        <v>1316</v>
      </c>
      <c r="B392" s="211" t="s">
        <v>1639</v>
      </c>
      <c r="C392" s="514" t="s">
        <v>1444</v>
      </c>
      <c r="D392" s="703" t="s">
        <v>1673</v>
      </c>
      <c r="E392" s="704">
        <v>2300</v>
      </c>
      <c r="F392" s="705" t="s">
        <v>1890</v>
      </c>
      <c r="G392" s="706" t="s">
        <v>1891</v>
      </c>
      <c r="H392" s="707" t="s">
        <v>1676</v>
      </c>
      <c r="I392" s="211" t="s">
        <v>1644</v>
      </c>
      <c r="J392" s="211" t="s">
        <v>1645</v>
      </c>
      <c r="K392" s="514">
        <v>3</v>
      </c>
      <c r="L392" s="514">
        <v>12</v>
      </c>
      <c r="M392" s="708">
        <f t="shared" si="7"/>
        <v>27600</v>
      </c>
      <c r="N392" s="709">
        <v>2</v>
      </c>
      <c r="O392" s="709">
        <v>6</v>
      </c>
      <c r="P392" s="708">
        <f t="shared" si="5"/>
        <v>13800</v>
      </c>
    </row>
    <row r="393" spans="1:16" ht="24" x14ac:dyDescent="0.2">
      <c r="A393" s="702">
        <v>1316</v>
      </c>
      <c r="B393" s="211" t="s">
        <v>1639</v>
      </c>
      <c r="C393" s="514" t="s">
        <v>1444</v>
      </c>
      <c r="D393" s="703" t="s">
        <v>1673</v>
      </c>
      <c r="E393" s="704">
        <v>2300</v>
      </c>
      <c r="F393" s="705" t="s">
        <v>1892</v>
      </c>
      <c r="G393" s="706" t="s">
        <v>1893</v>
      </c>
      <c r="H393" s="707" t="s">
        <v>1676</v>
      </c>
      <c r="I393" s="211" t="s">
        <v>1644</v>
      </c>
      <c r="J393" s="211" t="s">
        <v>1645</v>
      </c>
      <c r="K393" s="514">
        <v>3</v>
      </c>
      <c r="L393" s="514">
        <v>12</v>
      </c>
      <c r="M393" s="708">
        <f t="shared" si="7"/>
        <v>27600</v>
      </c>
      <c r="N393" s="709">
        <v>2</v>
      </c>
      <c r="O393" s="709">
        <v>6</v>
      </c>
      <c r="P393" s="708">
        <f t="shared" si="5"/>
        <v>13800</v>
      </c>
    </row>
    <row r="394" spans="1:16" ht="24" x14ac:dyDescent="0.2">
      <c r="A394" s="702">
        <v>1316</v>
      </c>
      <c r="B394" s="211" t="s">
        <v>1639</v>
      </c>
      <c r="C394" s="514" t="s">
        <v>1444</v>
      </c>
      <c r="D394" s="703" t="s">
        <v>1772</v>
      </c>
      <c r="E394" s="704">
        <v>2500</v>
      </c>
      <c r="F394" s="705" t="s">
        <v>1894</v>
      </c>
      <c r="G394" s="706" t="s">
        <v>1895</v>
      </c>
      <c r="H394" s="703" t="s">
        <v>1772</v>
      </c>
      <c r="I394" s="211" t="s">
        <v>1644</v>
      </c>
      <c r="J394" s="211" t="s">
        <v>1645</v>
      </c>
      <c r="K394" s="514">
        <v>0</v>
      </c>
      <c r="L394" s="514">
        <v>0</v>
      </c>
      <c r="M394" s="211">
        <v>0</v>
      </c>
      <c r="N394" s="709">
        <v>1</v>
      </c>
      <c r="O394" s="709">
        <v>1</v>
      </c>
      <c r="P394" s="708">
        <f t="shared" si="5"/>
        <v>2500</v>
      </c>
    </row>
    <row r="395" spans="1:16" ht="24" x14ac:dyDescent="0.2">
      <c r="A395" s="702">
        <v>1316</v>
      </c>
      <c r="B395" s="211" t="s">
        <v>1639</v>
      </c>
      <c r="C395" s="514" t="s">
        <v>1444</v>
      </c>
      <c r="D395" s="703" t="s">
        <v>1640</v>
      </c>
      <c r="E395" s="704">
        <v>2500</v>
      </c>
      <c r="F395" s="705" t="s">
        <v>1896</v>
      </c>
      <c r="G395" s="706" t="s">
        <v>1897</v>
      </c>
      <c r="H395" s="707" t="s">
        <v>1643</v>
      </c>
      <c r="I395" s="211" t="s">
        <v>1644</v>
      </c>
      <c r="J395" s="211" t="s">
        <v>1645</v>
      </c>
      <c r="K395" s="514">
        <v>2</v>
      </c>
      <c r="L395" s="514">
        <v>6</v>
      </c>
      <c r="M395" s="708">
        <f t="shared" ref="M395:M400" si="8">L395*E395</f>
        <v>15000</v>
      </c>
      <c r="N395" s="709">
        <v>2</v>
      </c>
      <c r="O395" s="709">
        <v>6</v>
      </c>
      <c r="P395" s="708">
        <f t="shared" si="5"/>
        <v>15000</v>
      </c>
    </row>
    <row r="396" spans="1:16" ht="24" x14ac:dyDescent="0.2">
      <c r="A396" s="702">
        <v>1316</v>
      </c>
      <c r="B396" s="211" t="s">
        <v>1639</v>
      </c>
      <c r="C396" s="514" t="s">
        <v>1444</v>
      </c>
      <c r="D396" s="703" t="s">
        <v>1651</v>
      </c>
      <c r="E396" s="704">
        <v>1300</v>
      </c>
      <c r="F396" s="705" t="s">
        <v>1898</v>
      </c>
      <c r="G396" s="706" t="s">
        <v>1899</v>
      </c>
      <c r="H396" s="703" t="s">
        <v>1651</v>
      </c>
      <c r="I396" s="211" t="s">
        <v>1654</v>
      </c>
      <c r="J396" s="211" t="s">
        <v>1655</v>
      </c>
      <c r="K396" s="514">
        <v>3</v>
      </c>
      <c r="L396" s="514">
        <v>12</v>
      </c>
      <c r="M396" s="708">
        <f t="shared" si="8"/>
        <v>15600</v>
      </c>
      <c r="N396" s="709">
        <v>2</v>
      </c>
      <c r="O396" s="709">
        <v>6</v>
      </c>
      <c r="P396" s="708">
        <f t="shared" si="5"/>
        <v>7800</v>
      </c>
    </row>
    <row r="397" spans="1:16" ht="12.75" x14ac:dyDescent="0.2">
      <c r="A397" s="702">
        <v>1316</v>
      </c>
      <c r="B397" s="211" t="s">
        <v>1639</v>
      </c>
      <c r="C397" s="514" t="s">
        <v>1444</v>
      </c>
      <c r="D397" s="703" t="s">
        <v>1811</v>
      </c>
      <c r="E397" s="704">
        <v>1700</v>
      </c>
      <c r="F397" s="705" t="s">
        <v>1900</v>
      </c>
      <c r="G397" s="706" t="s">
        <v>1901</v>
      </c>
      <c r="H397" s="703" t="s">
        <v>1811</v>
      </c>
      <c r="I397" s="211" t="s">
        <v>1644</v>
      </c>
      <c r="J397" s="211" t="s">
        <v>1645</v>
      </c>
      <c r="K397" s="514">
        <v>3</v>
      </c>
      <c r="L397" s="514">
        <v>12</v>
      </c>
      <c r="M397" s="708">
        <f t="shared" si="8"/>
        <v>20400</v>
      </c>
      <c r="N397" s="709">
        <v>2</v>
      </c>
      <c r="O397" s="709">
        <v>6</v>
      </c>
      <c r="P397" s="708">
        <f t="shared" si="5"/>
        <v>10200</v>
      </c>
    </row>
    <row r="398" spans="1:16" ht="24" x14ac:dyDescent="0.2">
      <c r="A398" s="702">
        <v>1316</v>
      </c>
      <c r="B398" s="211" t="s">
        <v>1639</v>
      </c>
      <c r="C398" s="514" t="s">
        <v>1444</v>
      </c>
      <c r="D398" s="703" t="s">
        <v>1651</v>
      </c>
      <c r="E398" s="704">
        <v>1834</v>
      </c>
      <c r="F398" s="705" t="s">
        <v>1902</v>
      </c>
      <c r="G398" s="706" t="s">
        <v>1903</v>
      </c>
      <c r="H398" s="703" t="s">
        <v>1651</v>
      </c>
      <c r="I398" s="211" t="s">
        <v>1654</v>
      </c>
      <c r="J398" s="211" t="s">
        <v>1655</v>
      </c>
      <c r="K398" s="514">
        <v>3</v>
      </c>
      <c r="L398" s="514">
        <v>12</v>
      </c>
      <c r="M398" s="708">
        <f t="shared" si="8"/>
        <v>22008</v>
      </c>
      <c r="N398" s="709">
        <v>2</v>
      </c>
      <c r="O398" s="709">
        <v>6</v>
      </c>
      <c r="P398" s="708">
        <f t="shared" si="5"/>
        <v>11004</v>
      </c>
    </row>
    <row r="399" spans="1:16" ht="24" x14ac:dyDescent="0.2">
      <c r="A399" s="702">
        <v>1316</v>
      </c>
      <c r="B399" s="211" t="s">
        <v>1639</v>
      </c>
      <c r="C399" s="514" t="s">
        <v>1444</v>
      </c>
      <c r="D399" s="703" t="s">
        <v>1640</v>
      </c>
      <c r="E399" s="704">
        <v>2300</v>
      </c>
      <c r="F399" s="705" t="s">
        <v>1904</v>
      </c>
      <c r="G399" s="706" t="s">
        <v>1905</v>
      </c>
      <c r="H399" s="707" t="s">
        <v>1643</v>
      </c>
      <c r="I399" s="211" t="s">
        <v>1644</v>
      </c>
      <c r="J399" s="211" t="s">
        <v>1645</v>
      </c>
      <c r="K399" s="514">
        <v>3</v>
      </c>
      <c r="L399" s="514">
        <v>12</v>
      </c>
      <c r="M399" s="708">
        <f t="shared" si="8"/>
        <v>27600</v>
      </c>
      <c r="N399" s="709">
        <v>2</v>
      </c>
      <c r="O399" s="709">
        <v>6</v>
      </c>
      <c r="P399" s="708">
        <f t="shared" si="5"/>
        <v>13800</v>
      </c>
    </row>
    <row r="400" spans="1:16" ht="36" x14ac:dyDescent="0.2">
      <c r="A400" s="702">
        <v>1316</v>
      </c>
      <c r="B400" s="211" t="s">
        <v>1639</v>
      </c>
      <c r="C400" s="514" t="s">
        <v>1444</v>
      </c>
      <c r="D400" s="707" t="s">
        <v>1659</v>
      </c>
      <c r="E400" s="704">
        <v>1000</v>
      </c>
      <c r="F400" s="705" t="s">
        <v>1906</v>
      </c>
      <c r="G400" s="706" t="s">
        <v>1907</v>
      </c>
      <c r="H400" s="707" t="s">
        <v>1659</v>
      </c>
      <c r="I400" s="211" t="s">
        <v>1662</v>
      </c>
      <c r="J400" s="211" t="s">
        <v>1663</v>
      </c>
      <c r="K400" s="514">
        <v>3</v>
      </c>
      <c r="L400" s="514">
        <v>12</v>
      </c>
      <c r="M400" s="708">
        <f t="shared" si="8"/>
        <v>12000</v>
      </c>
      <c r="N400" s="709">
        <v>2</v>
      </c>
      <c r="O400" s="709">
        <v>6</v>
      </c>
      <c r="P400" s="708">
        <f t="shared" si="5"/>
        <v>6000</v>
      </c>
    </row>
    <row r="401" spans="1:16" ht="24" x14ac:dyDescent="0.2">
      <c r="A401" s="702">
        <v>1316</v>
      </c>
      <c r="B401" s="211" t="s">
        <v>1639</v>
      </c>
      <c r="C401" s="514" t="s">
        <v>1444</v>
      </c>
      <c r="D401" s="703" t="s">
        <v>1640</v>
      </c>
      <c r="E401" s="704">
        <v>2689</v>
      </c>
      <c r="F401" s="705" t="s">
        <v>1908</v>
      </c>
      <c r="G401" s="706" t="s">
        <v>1909</v>
      </c>
      <c r="H401" s="707" t="s">
        <v>1643</v>
      </c>
      <c r="I401" s="211" t="s">
        <v>1644</v>
      </c>
      <c r="J401" s="211" t="s">
        <v>1645</v>
      </c>
      <c r="K401" s="514">
        <v>0</v>
      </c>
      <c r="L401" s="514">
        <v>0</v>
      </c>
      <c r="M401" s="211">
        <v>0</v>
      </c>
      <c r="N401" s="709">
        <v>1</v>
      </c>
      <c r="O401" s="709">
        <v>1</v>
      </c>
      <c r="P401" s="708">
        <f t="shared" si="5"/>
        <v>2689</v>
      </c>
    </row>
    <row r="402" spans="1:16" ht="24" x14ac:dyDescent="0.2">
      <c r="A402" s="702">
        <v>1316</v>
      </c>
      <c r="B402" s="211" t="s">
        <v>1639</v>
      </c>
      <c r="C402" s="514" t="s">
        <v>1444</v>
      </c>
      <c r="D402" s="703" t="s">
        <v>1744</v>
      </c>
      <c r="E402" s="704">
        <v>2689</v>
      </c>
      <c r="F402" s="705" t="s">
        <v>1910</v>
      </c>
      <c r="G402" s="706" t="s">
        <v>1911</v>
      </c>
      <c r="H402" s="707" t="s">
        <v>1747</v>
      </c>
      <c r="I402" s="211" t="s">
        <v>1644</v>
      </c>
      <c r="J402" s="211" t="s">
        <v>1645</v>
      </c>
      <c r="K402" s="514">
        <v>3</v>
      </c>
      <c r="L402" s="514">
        <v>12</v>
      </c>
      <c r="M402" s="708">
        <f t="shared" ref="M402:M414" si="9">L402*E402</f>
        <v>32268</v>
      </c>
      <c r="N402" s="709">
        <v>2</v>
      </c>
      <c r="O402" s="709">
        <v>6</v>
      </c>
      <c r="P402" s="708">
        <f t="shared" si="5"/>
        <v>16134</v>
      </c>
    </row>
    <row r="403" spans="1:16" ht="36" x14ac:dyDescent="0.2">
      <c r="A403" s="702">
        <v>1316</v>
      </c>
      <c r="B403" s="211" t="s">
        <v>1639</v>
      </c>
      <c r="C403" s="514" t="s">
        <v>1444</v>
      </c>
      <c r="D403" s="703" t="s">
        <v>1659</v>
      </c>
      <c r="E403" s="704">
        <v>1000</v>
      </c>
      <c r="F403" s="705" t="s">
        <v>1912</v>
      </c>
      <c r="G403" s="706" t="s">
        <v>1913</v>
      </c>
      <c r="H403" s="703" t="s">
        <v>1659</v>
      </c>
      <c r="I403" s="211" t="s">
        <v>1662</v>
      </c>
      <c r="J403" s="211" t="s">
        <v>1663</v>
      </c>
      <c r="K403" s="514">
        <v>3</v>
      </c>
      <c r="L403" s="514">
        <v>12</v>
      </c>
      <c r="M403" s="708">
        <f t="shared" si="9"/>
        <v>12000</v>
      </c>
      <c r="N403" s="709">
        <v>2</v>
      </c>
      <c r="O403" s="709">
        <v>6</v>
      </c>
      <c r="P403" s="708">
        <f t="shared" si="5"/>
        <v>6000</v>
      </c>
    </row>
    <row r="404" spans="1:16" ht="24" x14ac:dyDescent="0.2">
      <c r="A404" s="702">
        <v>1316</v>
      </c>
      <c r="B404" s="211" t="s">
        <v>1639</v>
      </c>
      <c r="C404" s="514" t="s">
        <v>1444</v>
      </c>
      <c r="D404" s="707" t="s">
        <v>904</v>
      </c>
      <c r="E404" s="704">
        <v>1000</v>
      </c>
      <c r="F404" s="705" t="s">
        <v>1914</v>
      </c>
      <c r="G404" s="706" t="s">
        <v>1915</v>
      </c>
      <c r="H404" s="707" t="s">
        <v>904</v>
      </c>
      <c r="I404" s="211" t="s">
        <v>1662</v>
      </c>
      <c r="J404" s="211" t="s">
        <v>1663</v>
      </c>
      <c r="K404" s="514">
        <v>3</v>
      </c>
      <c r="L404" s="514">
        <v>12</v>
      </c>
      <c r="M404" s="708">
        <f t="shared" si="9"/>
        <v>12000</v>
      </c>
      <c r="N404" s="709">
        <v>2</v>
      </c>
      <c r="O404" s="709">
        <v>6</v>
      </c>
      <c r="P404" s="708">
        <f t="shared" si="5"/>
        <v>6000</v>
      </c>
    </row>
    <row r="405" spans="1:16" ht="24" x14ac:dyDescent="0.2">
      <c r="A405" s="702">
        <v>1316</v>
      </c>
      <c r="B405" s="211" t="s">
        <v>1639</v>
      </c>
      <c r="C405" s="514" t="s">
        <v>1444</v>
      </c>
      <c r="D405" s="703" t="s">
        <v>1673</v>
      </c>
      <c r="E405" s="704">
        <v>2300</v>
      </c>
      <c r="F405" s="705" t="s">
        <v>1916</v>
      </c>
      <c r="G405" s="706" t="s">
        <v>1917</v>
      </c>
      <c r="H405" s="707" t="s">
        <v>1676</v>
      </c>
      <c r="I405" s="211" t="s">
        <v>1644</v>
      </c>
      <c r="J405" s="211" t="s">
        <v>1645</v>
      </c>
      <c r="K405" s="514">
        <v>3</v>
      </c>
      <c r="L405" s="514">
        <v>12</v>
      </c>
      <c r="M405" s="708">
        <f t="shared" si="9"/>
        <v>27600</v>
      </c>
      <c r="N405" s="709">
        <v>2</v>
      </c>
      <c r="O405" s="709">
        <v>6</v>
      </c>
      <c r="P405" s="708">
        <f t="shared" si="5"/>
        <v>13800</v>
      </c>
    </row>
    <row r="406" spans="1:16" ht="24" x14ac:dyDescent="0.2">
      <c r="A406" s="702">
        <v>1316</v>
      </c>
      <c r="B406" s="211" t="s">
        <v>1639</v>
      </c>
      <c r="C406" s="514" t="s">
        <v>1444</v>
      </c>
      <c r="D406" s="703" t="s">
        <v>1651</v>
      </c>
      <c r="E406" s="704">
        <v>1300</v>
      </c>
      <c r="F406" s="705" t="s">
        <v>1918</v>
      </c>
      <c r="G406" s="706" t="s">
        <v>1919</v>
      </c>
      <c r="H406" s="703" t="s">
        <v>1651</v>
      </c>
      <c r="I406" s="211" t="s">
        <v>1654</v>
      </c>
      <c r="J406" s="211" t="s">
        <v>1655</v>
      </c>
      <c r="K406" s="514">
        <v>3</v>
      </c>
      <c r="L406" s="514">
        <v>12</v>
      </c>
      <c r="M406" s="708">
        <f t="shared" si="9"/>
        <v>15600</v>
      </c>
      <c r="N406" s="709">
        <v>2</v>
      </c>
      <c r="O406" s="709">
        <v>6</v>
      </c>
      <c r="P406" s="708">
        <f t="shared" si="5"/>
        <v>7800</v>
      </c>
    </row>
    <row r="407" spans="1:16" ht="24" x14ac:dyDescent="0.2">
      <c r="A407" s="702">
        <v>1316</v>
      </c>
      <c r="B407" s="211" t="s">
        <v>1639</v>
      </c>
      <c r="C407" s="514" t="s">
        <v>1444</v>
      </c>
      <c r="D407" s="707" t="s">
        <v>904</v>
      </c>
      <c r="E407" s="704">
        <v>1000</v>
      </c>
      <c r="F407" s="705" t="s">
        <v>1920</v>
      </c>
      <c r="G407" s="706" t="s">
        <v>1921</v>
      </c>
      <c r="H407" s="707" t="s">
        <v>904</v>
      </c>
      <c r="I407" s="211" t="s">
        <v>1662</v>
      </c>
      <c r="J407" s="211" t="s">
        <v>1663</v>
      </c>
      <c r="K407" s="514">
        <v>3</v>
      </c>
      <c r="L407" s="514">
        <v>12</v>
      </c>
      <c r="M407" s="708">
        <f t="shared" si="9"/>
        <v>12000</v>
      </c>
      <c r="N407" s="709">
        <v>2</v>
      </c>
      <c r="O407" s="709">
        <v>6</v>
      </c>
      <c r="P407" s="708">
        <f t="shared" si="5"/>
        <v>6000</v>
      </c>
    </row>
    <row r="408" spans="1:16" ht="24" x14ac:dyDescent="0.2">
      <c r="A408" s="702">
        <v>1316</v>
      </c>
      <c r="B408" s="211" t="s">
        <v>1639</v>
      </c>
      <c r="C408" s="514" t="s">
        <v>1444</v>
      </c>
      <c r="D408" s="703" t="s">
        <v>1651</v>
      </c>
      <c r="E408" s="704">
        <v>1300</v>
      </c>
      <c r="F408" s="705" t="s">
        <v>1922</v>
      </c>
      <c r="G408" s="706" t="s">
        <v>1923</v>
      </c>
      <c r="H408" s="703" t="s">
        <v>1651</v>
      </c>
      <c r="I408" s="211" t="s">
        <v>1654</v>
      </c>
      <c r="J408" s="211" t="s">
        <v>1655</v>
      </c>
      <c r="K408" s="514">
        <v>3</v>
      </c>
      <c r="L408" s="514">
        <v>12</v>
      </c>
      <c r="M408" s="708">
        <f t="shared" si="9"/>
        <v>15600</v>
      </c>
      <c r="N408" s="709">
        <v>2</v>
      </c>
      <c r="O408" s="709">
        <v>6</v>
      </c>
      <c r="P408" s="708">
        <f t="shared" si="5"/>
        <v>7800</v>
      </c>
    </row>
    <row r="409" spans="1:16" ht="24" x14ac:dyDescent="0.2">
      <c r="A409" s="702">
        <v>1316</v>
      </c>
      <c r="B409" s="211" t="s">
        <v>1639</v>
      </c>
      <c r="C409" s="514" t="s">
        <v>1444</v>
      </c>
      <c r="D409" s="703" t="s">
        <v>1716</v>
      </c>
      <c r="E409" s="704">
        <v>1300</v>
      </c>
      <c r="F409" s="705" t="s">
        <v>1924</v>
      </c>
      <c r="G409" s="706" t="s">
        <v>1925</v>
      </c>
      <c r="H409" s="703" t="s">
        <v>1716</v>
      </c>
      <c r="I409" s="211" t="s">
        <v>1654</v>
      </c>
      <c r="J409" s="211" t="s">
        <v>1655</v>
      </c>
      <c r="K409" s="514">
        <v>3</v>
      </c>
      <c r="L409" s="514">
        <v>12</v>
      </c>
      <c r="M409" s="708">
        <f t="shared" si="9"/>
        <v>15600</v>
      </c>
      <c r="N409" s="709">
        <v>2</v>
      </c>
      <c r="O409" s="709">
        <v>6</v>
      </c>
      <c r="P409" s="708">
        <f t="shared" si="5"/>
        <v>7800</v>
      </c>
    </row>
    <row r="410" spans="1:16" ht="24" x14ac:dyDescent="0.2">
      <c r="A410" s="702">
        <v>1316</v>
      </c>
      <c r="B410" s="211" t="s">
        <v>1639</v>
      </c>
      <c r="C410" s="514" t="s">
        <v>1444</v>
      </c>
      <c r="D410" s="703" t="s">
        <v>1744</v>
      </c>
      <c r="E410" s="704">
        <v>2689</v>
      </c>
      <c r="F410" s="705" t="s">
        <v>1926</v>
      </c>
      <c r="G410" s="706" t="s">
        <v>1927</v>
      </c>
      <c r="H410" s="707" t="s">
        <v>1747</v>
      </c>
      <c r="I410" s="211" t="s">
        <v>1644</v>
      </c>
      <c r="J410" s="211" t="s">
        <v>1645</v>
      </c>
      <c r="K410" s="514">
        <v>2</v>
      </c>
      <c r="L410" s="514">
        <v>6</v>
      </c>
      <c r="M410" s="708">
        <f t="shared" si="9"/>
        <v>16134</v>
      </c>
      <c r="N410" s="709">
        <v>2</v>
      </c>
      <c r="O410" s="709">
        <v>6</v>
      </c>
      <c r="P410" s="708">
        <f t="shared" si="5"/>
        <v>16134</v>
      </c>
    </row>
    <row r="411" spans="1:16" ht="24" x14ac:dyDescent="0.2">
      <c r="A411" s="702">
        <v>1316</v>
      </c>
      <c r="B411" s="211" t="s">
        <v>1639</v>
      </c>
      <c r="C411" s="514" t="s">
        <v>1444</v>
      </c>
      <c r="D411" s="707" t="s">
        <v>1928</v>
      </c>
      <c r="E411" s="704">
        <v>3000</v>
      </c>
      <c r="F411" s="705" t="s">
        <v>1929</v>
      </c>
      <c r="G411" s="706" t="s">
        <v>1930</v>
      </c>
      <c r="H411" s="707" t="s">
        <v>1928</v>
      </c>
      <c r="I411" s="211" t="s">
        <v>1644</v>
      </c>
      <c r="J411" s="211" t="s">
        <v>1645</v>
      </c>
      <c r="K411" s="514">
        <v>3</v>
      </c>
      <c r="L411" s="514">
        <v>12</v>
      </c>
      <c r="M411" s="708">
        <f t="shared" si="9"/>
        <v>36000</v>
      </c>
      <c r="N411" s="709">
        <v>2</v>
      </c>
      <c r="O411" s="709">
        <v>6</v>
      </c>
      <c r="P411" s="708">
        <f t="shared" ref="P411:P474" si="10">O411*E411</f>
        <v>18000</v>
      </c>
    </row>
    <row r="412" spans="1:16" ht="24" x14ac:dyDescent="0.2">
      <c r="A412" s="702">
        <v>1316</v>
      </c>
      <c r="B412" s="211" t="s">
        <v>1639</v>
      </c>
      <c r="C412" s="514" t="s">
        <v>1444</v>
      </c>
      <c r="D412" s="703" t="s">
        <v>1651</v>
      </c>
      <c r="E412" s="704">
        <v>1300</v>
      </c>
      <c r="F412" s="705" t="s">
        <v>1931</v>
      </c>
      <c r="G412" s="706" t="s">
        <v>1932</v>
      </c>
      <c r="H412" s="703" t="s">
        <v>1651</v>
      </c>
      <c r="I412" s="211" t="s">
        <v>1654</v>
      </c>
      <c r="J412" s="211" t="s">
        <v>1655</v>
      </c>
      <c r="K412" s="514">
        <v>3</v>
      </c>
      <c r="L412" s="514">
        <v>12</v>
      </c>
      <c r="M412" s="708">
        <f t="shared" si="9"/>
        <v>15600</v>
      </c>
      <c r="N412" s="709">
        <v>2</v>
      </c>
      <c r="O412" s="709">
        <v>6</v>
      </c>
      <c r="P412" s="708">
        <f t="shared" si="10"/>
        <v>7800</v>
      </c>
    </row>
    <row r="413" spans="1:16" ht="24" x14ac:dyDescent="0.2">
      <c r="A413" s="702">
        <v>1316</v>
      </c>
      <c r="B413" s="211" t="s">
        <v>1639</v>
      </c>
      <c r="C413" s="514" t="s">
        <v>1444</v>
      </c>
      <c r="D413" s="703" t="s">
        <v>1640</v>
      </c>
      <c r="E413" s="704">
        <v>2300</v>
      </c>
      <c r="F413" s="705" t="s">
        <v>1933</v>
      </c>
      <c r="G413" s="706" t="s">
        <v>1934</v>
      </c>
      <c r="H413" s="707" t="s">
        <v>1643</v>
      </c>
      <c r="I413" s="211" t="s">
        <v>1644</v>
      </c>
      <c r="J413" s="211" t="s">
        <v>1645</v>
      </c>
      <c r="K413" s="514">
        <v>3</v>
      </c>
      <c r="L413" s="514">
        <v>12</v>
      </c>
      <c r="M413" s="708">
        <f t="shared" si="9"/>
        <v>27600</v>
      </c>
      <c r="N413" s="709">
        <v>2</v>
      </c>
      <c r="O413" s="709">
        <v>6</v>
      </c>
      <c r="P413" s="708">
        <f t="shared" si="10"/>
        <v>13800</v>
      </c>
    </row>
    <row r="414" spans="1:16" ht="24" x14ac:dyDescent="0.2">
      <c r="A414" s="702">
        <v>1316</v>
      </c>
      <c r="B414" s="211" t="s">
        <v>1639</v>
      </c>
      <c r="C414" s="514" t="s">
        <v>1444</v>
      </c>
      <c r="D414" s="703" t="s">
        <v>1640</v>
      </c>
      <c r="E414" s="704">
        <v>2300</v>
      </c>
      <c r="F414" s="705" t="s">
        <v>1935</v>
      </c>
      <c r="G414" s="706" t="s">
        <v>1936</v>
      </c>
      <c r="H414" s="707" t="s">
        <v>1643</v>
      </c>
      <c r="I414" s="211" t="s">
        <v>1644</v>
      </c>
      <c r="J414" s="211" t="s">
        <v>1645</v>
      </c>
      <c r="K414" s="514">
        <v>3</v>
      </c>
      <c r="L414" s="514">
        <v>12</v>
      </c>
      <c r="M414" s="708">
        <f t="shared" si="9"/>
        <v>27600</v>
      </c>
      <c r="N414" s="709">
        <v>2</v>
      </c>
      <c r="O414" s="709">
        <v>6</v>
      </c>
      <c r="P414" s="708">
        <f t="shared" si="10"/>
        <v>13800</v>
      </c>
    </row>
    <row r="415" spans="1:16" ht="24" x14ac:dyDescent="0.2">
      <c r="A415" s="702">
        <v>1316</v>
      </c>
      <c r="B415" s="211" t="s">
        <v>1639</v>
      </c>
      <c r="C415" s="514" t="s">
        <v>1444</v>
      </c>
      <c r="D415" s="703" t="s">
        <v>1772</v>
      </c>
      <c r="E415" s="704">
        <v>2500</v>
      </c>
      <c r="F415" s="705" t="s">
        <v>1937</v>
      </c>
      <c r="G415" s="706" t="s">
        <v>1938</v>
      </c>
      <c r="H415" s="703" t="s">
        <v>1772</v>
      </c>
      <c r="I415" s="211" t="s">
        <v>1644</v>
      </c>
      <c r="J415" s="211" t="s">
        <v>1645</v>
      </c>
      <c r="K415" s="514">
        <v>0</v>
      </c>
      <c r="L415" s="514">
        <v>0</v>
      </c>
      <c r="M415" s="211">
        <v>0</v>
      </c>
      <c r="N415" s="709">
        <v>1</v>
      </c>
      <c r="O415" s="709">
        <v>1</v>
      </c>
      <c r="P415" s="708">
        <f t="shared" si="10"/>
        <v>2500</v>
      </c>
    </row>
    <row r="416" spans="1:16" ht="24" x14ac:dyDescent="0.2">
      <c r="A416" s="702">
        <v>1316</v>
      </c>
      <c r="B416" s="211" t="s">
        <v>1639</v>
      </c>
      <c r="C416" s="514" t="s">
        <v>1444</v>
      </c>
      <c r="D416" s="703" t="s">
        <v>1640</v>
      </c>
      <c r="E416" s="704">
        <v>2300</v>
      </c>
      <c r="F416" s="705" t="s">
        <v>1939</v>
      </c>
      <c r="G416" s="706" t="s">
        <v>1940</v>
      </c>
      <c r="H416" s="707" t="s">
        <v>1643</v>
      </c>
      <c r="I416" s="211" t="s">
        <v>1644</v>
      </c>
      <c r="J416" s="211" t="s">
        <v>1645</v>
      </c>
      <c r="K416" s="514">
        <v>3</v>
      </c>
      <c r="L416" s="514">
        <v>12</v>
      </c>
      <c r="M416" s="708">
        <f>L416*E416</f>
        <v>27600</v>
      </c>
      <c r="N416" s="709">
        <v>2</v>
      </c>
      <c r="O416" s="709">
        <v>6</v>
      </c>
      <c r="P416" s="708">
        <f t="shared" si="10"/>
        <v>13800</v>
      </c>
    </row>
    <row r="417" spans="1:16" ht="24" x14ac:dyDescent="0.2">
      <c r="A417" s="702">
        <v>1316</v>
      </c>
      <c r="B417" s="211" t="s">
        <v>1639</v>
      </c>
      <c r="C417" s="514" t="s">
        <v>1444</v>
      </c>
      <c r="D417" s="703" t="s">
        <v>1640</v>
      </c>
      <c r="E417" s="704">
        <v>2300</v>
      </c>
      <c r="F417" s="705" t="s">
        <v>1941</v>
      </c>
      <c r="G417" s="706" t="s">
        <v>1942</v>
      </c>
      <c r="H417" s="707" t="s">
        <v>1643</v>
      </c>
      <c r="I417" s="211" t="s">
        <v>1644</v>
      </c>
      <c r="J417" s="211" t="s">
        <v>1645</v>
      </c>
      <c r="K417" s="514">
        <v>3</v>
      </c>
      <c r="L417" s="514">
        <v>12</v>
      </c>
      <c r="M417" s="708">
        <f>L417*E417</f>
        <v>27600</v>
      </c>
      <c r="N417" s="709">
        <v>2</v>
      </c>
      <c r="O417" s="709">
        <v>6</v>
      </c>
      <c r="P417" s="708">
        <f t="shared" si="10"/>
        <v>13800</v>
      </c>
    </row>
    <row r="418" spans="1:16" ht="36" x14ac:dyDescent="0.2">
      <c r="A418" s="702">
        <v>1316</v>
      </c>
      <c r="B418" s="211" t="s">
        <v>1639</v>
      </c>
      <c r="C418" s="514" t="s">
        <v>1444</v>
      </c>
      <c r="D418" s="707" t="s">
        <v>1659</v>
      </c>
      <c r="E418" s="704">
        <v>1000</v>
      </c>
      <c r="F418" s="705" t="s">
        <v>1943</v>
      </c>
      <c r="G418" s="706" t="s">
        <v>1944</v>
      </c>
      <c r="H418" s="707" t="s">
        <v>1659</v>
      </c>
      <c r="I418" s="211" t="s">
        <v>1662</v>
      </c>
      <c r="J418" s="211" t="s">
        <v>1663</v>
      </c>
      <c r="K418" s="514">
        <v>3</v>
      </c>
      <c r="L418" s="514">
        <v>12</v>
      </c>
      <c r="M418" s="708">
        <f>L418*E418</f>
        <v>12000</v>
      </c>
      <c r="N418" s="709">
        <v>2</v>
      </c>
      <c r="O418" s="709">
        <v>6</v>
      </c>
      <c r="P418" s="708">
        <f t="shared" si="10"/>
        <v>6000</v>
      </c>
    </row>
    <row r="419" spans="1:16" ht="24" x14ac:dyDescent="0.2">
      <c r="A419" s="702">
        <v>1316</v>
      </c>
      <c r="B419" s="211" t="s">
        <v>1639</v>
      </c>
      <c r="C419" s="514" t="s">
        <v>1444</v>
      </c>
      <c r="D419" s="703" t="s">
        <v>1640</v>
      </c>
      <c r="E419" s="704">
        <v>2300</v>
      </c>
      <c r="F419" s="705" t="s">
        <v>1945</v>
      </c>
      <c r="G419" s="706" t="s">
        <v>1946</v>
      </c>
      <c r="H419" s="707" t="s">
        <v>1643</v>
      </c>
      <c r="I419" s="211" t="s">
        <v>1644</v>
      </c>
      <c r="J419" s="211" t="s">
        <v>1645</v>
      </c>
      <c r="K419" s="514">
        <v>3</v>
      </c>
      <c r="L419" s="514">
        <v>12</v>
      </c>
      <c r="M419" s="708">
        <f>L419*E419</f>
        <v>27600</v>
      </c>
      <c r="N419" s="709">
        <v>2</v>
      </c>
      <c r="O419" s="709">
        <v>6</v>
      </c>
      <c r="P419" s="708">
        <f t="shared" si="10"/>
        <v>13800</v>
      </c>
    </row>
    <row r="420" spans="1:16" ht="12.75" x14ac:dyDescent="0.2">
      <c r="A420" s="702">
        <v>1316</v>
      </c>
      <c r="B420" s="211" t="s">
        <v>1639</v>
      </c>
      <c r="C420" s="514" t="s">
        <v>1444</v>
      </c>
      <c r="D420" s="707" t="s">
        <v>609</v>
      </c>
      <c r="E420" s="704">
        <v>4000</v>
      </c>
      <c r="F420" s="705" t="s">
        <v>1947</v>
      </c>
      <c r="G420" s="706" t="s">
        <v>1948</v>
      </c>
      <c r="H420" s="707" t="s">
        <v>609</v>
      </c>
      <c r="I420" s="211" t="s">
        <v>1644</v>
      </c>
      <c r="J420" s="211" t="s">
        <v>1645</v>
      </c>
      <c r="K420" s="514">
        <v>3</v>
      </c>
      <c r="L420" s="514">
        <v>12</v>
      </c>
      <c r="M420" s="708">
        <f>L420*E420</f>
        <v>48000</v>
      </c>
      <c r="N420" s="709">
        <v>2</v>
      </c>
      <c r="O420" s="709">
        <v>6</v>
      </c>
      <c r="P420" s="708">
        <f t="shared" si="10"/>
        <v>24000</v>
      </c>
    </row>
    <row r="421" spans="1:16" ht="24" x14ac:dyDescent="0.2">
      <c r="A421" s="702">
        <v>1316</v>
      </c>
      <c r="B421" s="211" t="s">
        <v>1639</v>
      </c>
      <c r="C421" s="514" t="s">
        <v>1444</v>
      </c>
      <c r="D421" s="703" t="s">
        <v>947</v>
      </c>
      <c r="E421" s="704">
        <v>3500</v>
      </c>
      <c r="F421" s="705" t="s">
        <v>1949</v>
      </c>
      <c r="G421" s="706" t="s">
        <v>1950</v>
      </c>
      <c r="H421" s="703" t="s">
        <v>947</v>
      </c>
      <c r="I421" s="211" t="s">
        <v>1644</v>
      </c>
      <c r="J421" s="211" t="s">
        <v>1645</v>
      </c>
      <c r="K421" s="514">
        <v>0</v>
      </c>
      <c r="L421" s="514">
        <v>0</v>
      </c>
      <c r="M421" s="211">
        <v>0</v>
      </c>
      <c r="N421" s="709">
        <v>1</v>
      </c>
      <c r="O421" s="709">
        <v>1</v>
      </c>
      <c r="P421" s="708">
        <f t="shared" si="10"/>
        <v>3500</v>
      </c>
    </row>
    <row r="422" spans="1:16" ht="24" x14ac:dyDescent="0.2">
      <c r="A422" s="702">
        <v>1316</v>
      </c>
      <c r="B422" s="211" t="s">
        <v>1639</v>
      </c>
      <c r="C422" s="514" t="s">
        <v>1444</v>
      </c>
      <c r="D422" s="703" t="s">
        <v>1656</v>
      </c>
      <c r="E422" s="704">
        <v>2097</v>
      </c>
      <c r="F422" s="705" t="s">
        <v>1951</v>
      </c>
      <c r="G422" s="706" t="s">
        <v>1952</v>
      </c>
      <c r="H422" s="703" t="s">
        <v>1656</v>
      </c>
      <c r="I422" s="211" t="s">
        <v>1654</v>
      </c>
      <c r="J422" s="211" t="s">
        <v>1655</v>
      </c>
      <c r="K422" s="514">
        <v>0</v>
      </c>
      <c r="L422" s="514">
        <v>0</v>
      </c>
      <c r="M422" s="211">
        <v>0</v>
      </c>
      <c r="N422" s="709">
        <v>1</v>
      </c>
      <c r="O422" s="709">
        <v>1</v>
      </c>
      <c r="P422" s="708">
        <f t="shared" si="10"/>
        <v>2097</v>
      </c>
    </row>
    <row r="423" spans="1:16" ht="24" x14ac:dyDescent="0.2">
      <c r="A423" s="702">
        <v>1316</v>
      </c>
      <c r="B423" s="211" t="s">
        <v>1639</v>
      </c>
      <c r="C423" s="514" t="s">
        <v>1444</v>
      </c>
      <c r="D423" s="703" t="s">
        <v>1673</v>
      </c>
      <c r="E423" s="704">
        <v>2300</v>
      </c>
      <c r="F423" s="705" t="s">
        <v>1953</v>
      </c>
      <c r="G423" s="706" t="s">
        <v>1954</v>
      </c>
      <c r="H423" s="707" t="s">
        <v>1676</v>
      </c>
      <c r="I423" s="211" t="s">
        <v>1644</v>
      </c>
      <c r="J423" s="211" t="s">
        <v>1645</v>
      </c>
      <c r="K423" s="514">
        <v>3</v>
      </c>
      <c r="L423" s="514">
        <v>12</v>
      </c>
      <c r="M423" s="708">
        <f>L423*E423</f>
        <v>27600</v>
      </c>
      <c r="N423" s="709">
        <v>2</v>
      </c>
      <c r="O423" s="709">
        <v>6</v>
      </c>
      <c r="P423" s="708">
        <f t="shared" si="10"/>
        <v>13800</v>
      </c>
    </row>
    <row r="424" spans="1:16" ht="24" x14ac:dyDescent="0.2">
      <c r="A424" s="702">
        <v>1316</v>
      </c>
      <c r="B424" s="211" t="s">
        <v>1639</v>
      </c>
      <c r="C424" s="514" t="s">
        <v>1444</v>
      </c>
      <c r="D424" s="703" t="s">
        <v>1651</v>
      </c>
      <c r="E424" s="704">
        <v>1300</v>
      </c>
      <c r="F424" s="705" t="s">
        <v>1955</v>
      </c>
      <c r="G424" s="706" t="s">
        <v>1956</v>
      </c>
      <c r="H424" s="703" t="s">
        <v>1651</v>
      </c>
      <c r="I424" s="211" t="s">
        <v>1654</v>
      </c>
      <c r="J424" s="211" t="s">
        <v>1655</v>
      </c>
      <c r="K424" s="514">
        <v>3</v>
      </c>
      <c r="L424" s="514">
        <v>12</v>
      </c>
      <c r="M424" s="708">
        <f>L424*E424</f>
        <v>15600</v>
      </c>
      <c r="N424" s="709">
        <v>2</v>
      </c>
      <c r="O424" s="709">
        <v>6</v>
      </c>
      <c r="P424" s="708">
        <f t="shared" si="10"/>
        <v>7800</v>
      </c>
    </row>
    <row r="425" spans="1:16" ht="36" x14ac:dyDescent="0.2">
      <c r="A425" s="702">
        <v>1316</v>
      </c>
      <c r="B425" s="211" t="s">
        <v>1639</v>
      </c>
      <c r="C425" s="514" t="s">
        <v>1444</v>
      </c>
      <c r="D425" s="703" t="s">
        <v>1659</v>
      </c>
      <c r="E425" s="704">
        <v>1000</v>
      </c>
      <c r="F425" s="705" t="s">
        <v>1957</v>
      </c>
      <c r="G425" s="706" t="s">
        <v>1958</v>
      </c>
      <c r="H425" s="703" t="s">
        <v>1659</v>
      </c>
      <c r="I425" s="211" t="s">
        <v>1662</v>
      </c>
      <c r="J425" s="211" t="s">
        <v>1663</v>
      </c>
      <c r="K425" s="514">
        <v>3</v>
      </c>
      <c r="L425" s="514">
        <v>12</v>
      </c>
      <c r="M425" s="708">
        <f>L425*E425</f>
        <v>12000</v>
      </c>
      <c r="N425" s="709">
        <v>2</v>
      </c>
      <c r="O425" s="709">
        <v>6</v>
      </c>
      <c r="P425" s="708">
        <f t="shared" si="10"/>
        <v>6000</v>
      </c>
    </row>
    <row r="426" spans="1:16" ht="24" x14ac:dyDescent="0.2">
      <c r="A426" s="702">
        <v>1316</v>
      </c>
      <c r="B426" s="211" t="s">
        <v>1639</v>
      </c>
      <c r="C426" s="514" t="s">
        <v>1444</v>
      </c>
      <c r="D426" s="707" t="s">
        <v>1651</v>
      </c>
      <c r="E426" s="704">
        <v>1300</v>
      </c>
      <c r="F426" s="705" t="s">
        <v>1959</v>
      </c>
      <c r="G426" s="706" t="s">
        <v>1960</v>
      </c>
      <c r="H426" s="707" t="s">
        <v>1651</v>
      </c>
      <c r="I426" s="211" t="s">
        <v>1654</v>
      </c>
      <c r="J426" s="211" t="s">
        <v>1655</v>
      </c>
      <c r="K426" s="514">
        <v>3</v>
      </c>
      <c r="L426" s="514">
        <v>12</v>
      </c>
      <c r="M426" s="708">
        <f>L426*E426</f>
        <v>15600</v>
      </c>
      <c r="N426" s="709">
        <v>2</v>
      </c>
      <c r="O426" s="709">
        <v>6</v>
      </c>
      <c r="P426" s="708">
        <f t="shared" si="10"/>
        <v>7800</v>
      </c>
    </row>
    <row r="427" spans="1:16" ht="24" x14ac:dyDescent="0.2">
      <c r="A427" s="702">
        <v>1316</v>
      </c>
      <c r="B427" s="211" t="s">
        <v>1639</v>
      </c>
      <c r="C427" s="514" t="s">
        <v>1444</v>
      </c>
      <c r="D427" s="707" t="s">
        <v>904</v>
      </c>
      <c r="E427" s="704">
        <v>1000</v>
      </c>
      <c r="F427" s="705" t="s">
        <v>1961</v>
      </c>
      <c r="G427" s="706" t="s">
        <v>1962</v>
      </c>
      <c r="H427" s="707" t="s">
        <v>904</v>
      </c>
      <c r="I427" s="211" t="s">
        <v>1662</v>
      </c>
      <c r="J427" s="211" t="s">
        <v>1663</v>
      </c>
      <c r="K427" s="514">
        <v>3</v>
      </c>
      <c r="L427" s="514">
        <v>12</v>
      </c>
      <c r="M427" s="708">
        <f>L427*E427</f>
        <v>12000</v>
      </c>
      <c r="N427" s="709">
        <v>2</v>
      </c>
      <c r="O427" s="709">
        <v>6</v>
      </c>
      <c r="P427" s="708">
        <f t="shared" si="10"/>
        <v>6000</v>
      </c>
    </row>
    <row r="428" spans="1:16" ht="24" x14ac:dyDescent="0.2">
      <c r="A428" s="702">
        <v>1316</v>
      </c>
      <c r="B428" s="211" t="s">
        <v>1639</v>
      </c>
      <c r="C428" s="514" t="s">
        <v>1444</v>
      </c>
      <c r="D428" s="703" t="s">
        <v>613</v>
      </c>
      <c r="E428" s="704">
        <v>2000</v>
      </c>
      <c r="F428" s="705" t="s">
        <v>1963</v>
      </c>
      <c r="G428" s="706" t="s">
        <v>1964</v>
      </c>
      <c r="H428" s="703" t="s">
        <v>613</v>
      </c>
      <c r="I428" s="211" t="s">
        <v>1654</v>
      </c>
      <c r="J428" s="211" t="s">
        <v>1655</v>
      </c>
      <c r="K428" s="514">
        <v>0</v>
      </c>
      <c r="L428" s="514">
        <v>0</v>
      </c>
      <c r="M428" s="211">
        <v>0</v>
      </c>
      <c r="N428" s="709">
        <v>1</v>
      </c>
      <c r="O428" s="709">
        <v>1</v>
      </c>
      <c r="P428" s="708">
        <f t="shared" si="10"/>
        <v>2000</v>
      </c>
    </row>
    <row r="429" spans="1:16" ht="24" x14ac:dyDescent="0.2">
      <c r="A429" s="702">
        <v>1316</v>
      </c>
      <c r="B429" s="211" t="s">
        <v>1639</v>
      </c>
      <c r="C429" s="514" t="s">
        <v>1444</v>
      </c>
      <c r="D429" s="703" t="s">
        <v>904</v>
      </c>
      <c r="E429" s="704">
        <v>1000</v>
      </c>
      <c r="F429" s="705" t="s">
        <v>1965</v>
      </c>
      <c r="G429" s="706" t="s">
        <v>1966</v>
      </c>
      <c r="H429" s="703" t="s">
        <v>904</v>
      </c>
      <c r="I429" s="211" t="s">
        <v>1662</v>
      </c>
      <c r="J429" s="211" t="s">
        <v>1663</v>
      </c>
      <c r="K429" s="514">
        <v>3</v>
      </c>
      <c r="L429" s="514">
        <v>12</v>
      </c>
      <c r="M429" s="708">
        <f t="shared" ref="M429:M465" si="11">L429*E429</f>
        <v>12000</v>
      </c>
      <c r="N429" s="709">
        <v>2</v>
      </c>
      <c r="O429" s="709">
        <v>6</v>
      </c>
      <c r="P429" s="708">
        <f t="shared" si="10"/>
        <v>6000</v>
      </c>
    </row>
    <row r="430" spans="1:16" ht="24" x14ac:dyDescent="0.2">
      <c r="A430" s="702">
        <v>1316</v>
      </c>
      <c r="B430" s="211" t="s">
        <v>1639</v>
      </c>
      <c r="C430" s="514" t="s">
        <v>1444</v>
      </c>
      <c r="D430" s="703" t="s">
        <v>1651</v>
      </c>
      <c r="E430" s="704">
        <v>1300</v>
      </c>
      <c r="F430" s="705" t="s">
        <v>1967</v>
      </c>
      <c r="G430" s="706" t="s">
        <v>1968</v>
      </c>
      <c r="H430" s="703" t="s">
        <v>1651</v>
      </c>
      <c r="I430" s="211" t="s">
        <v>1654</v>
      </c>
      <c r="J430" s="211" t="s">
        <v>1655</v>
      </c>
      <c r="K430" s="514">
        <v>3</v>
      </c>
      <c r="L430" s="514">
        <v>12</v>
      </c>
      <c r="M430" s="708">
        <f t="shared" si="11"/>
        <v>15600</v>
      </c>
      <c r="N430" s="709">
        <v>2</v>
      </c>
      <c r="O430" s="709">
        <v>6</v>
      </c>
      <c r="P430" s="708">
        <f t="shared" si="10"/>
        <v>7800</v>
      </c>
    </row>
    <row r="431" spans="1:16" ht="24" x14ac:dyDescent="0.2">
      <c r="A431" s="702">
        <v>1316</v>
      </c>
      <c r="B431" s="211" t="s">
        <v>1639</v>
      </c>
      <c r="C431" s="514" t="s">
        <v>1444</v>
      </c>
      <c r="D431" s="707" t="s">
        <v>752</v>
      </c>
      <c r="E431" s="704">
        <v>3000</v>
      </c>
      <c r="F431" s="705" t="s">
        <v>1969</v>
      </c>
      <c r="G431" s="706" t="s">
        <v>1970</v>
      </c>
      <c r="H431" s="707" t="s">
        <v>752</v>
      </c>
      <c r="I431" s="211" t="s">
        <v>1644</v>
      </c>
      <c r="J431" s="211" t="s">
        <v>1645</v>
      </c>
      <c r="K431" s="514">
        <v>3</v>
      </c>
      <c r="L431" s="514">
        <v>12</v>
      </c>
      <c r="M431" s="708">
        <f t="shared" si="11"/>
        <v>36000</v>
      </c>
      <c r="N431" s="709">
        <v>2</v>
      </c>
      <c r="O431" s="709">
        <v>6</v>
      </c>
      <c r="P431" s="708">
        <f t="shared" si="10"/>
        <v>18000</v>
      </c>
    </row>
    <row r="432" spans="1:16" ht="12.75" x14ac:dyDescent="0.2">
      <c r="A432" s="702">
        <v>1316</v>
      </c>
      <c r="B432" s="211" t="s">
        <v>1639</v>
      </c>
      <c r="C432" s="514" t="s">
        <v>1444</v>
      </c>
      <c r="D432" s="703" t="s">
        <v>1703</v>
      </c>
      <c r="E432" s="704">
        <v>5025</v>
      </c>
      <c r="F432" s="705" t="s">
        <v>1971</v>
      </c>
      <c r="G432" s="706" t="s">
        <v>1972</v>
      </c>
      <c r="H432" s="703" t="s">
        <v>1703</v>
      </c>
      <c r="I432" s="211" t="s">
        <v>1644</v>
      </c>
      <c r="J432" s="211" t="s">
        <v>1645</v>
      </c>
      <c r="K432" s="514">
        <v>2</v>
      </c>
      <c r="L432" s="514">
        <v>6</v>
      </c>
      <c r="M432" s="708">
        <f t="shared" si="11"/>
        <v>30150</v>
      </c>
      <c r="N432" s="709">
        <v>2</v>
      </c>
      <c r="O432" s="709">
        <v>6</v>
      </c>
      <c r="P432" s="708">
        <f t="shared" si="10"/>
        <v>30150</v>
      </c>
    </row>
    <row r="433" spans="1:16" ht="36" x14ac:dyDescent="0.2">
      <c r="A433" s="702">
        <v>1316</v>
      </c>
      <c r="B433" s="211" t="s">
        <v>1639</v>
      </c>
      <c r="C433" s="514" t="s">
        <v>1444</v>
      </c>
      <c r="D433" s="707" t="s">
        <v>1973</v>
      </c>
      <c r="E433" s="704">
        <v>2000</v>
      </c>
      <c r="F433" s="705" t="s">
        <v>1974</v>
      </c>
      <c r="G433" s="706" t="s">
        <v>1975</v>
      </c>
      <c r="H433" s="707" t="s">
        <v>1973</v>
      </c>
      <c r="I433" s="211" t="s">
        <v>1644</v>
      </c>
      <c r="J433" s="211" t="s">
        <v>1645</v>
      </c>
      <c r="K433" s="514">
        <v>3</v>
      </c>
      <c r="L433" s="514">
        <v>12</v>
      </c>
      <c r="M433" s="708">
        <f t="shared" si="11"/>
        <v>24000</v>
      </c>
      <c r="N433" s="709">
        <v>2</v>
      </c>
      <c r="O433" s="709">
        <v>6</v>
      </c>
      <c r="P433" s="708">
        <f t="shared" si="10"/>
        <v>12000</v>
      </c>
    </row>
    <row r="434" spans="1:16" ht="24" x14ac:dyDescent="0.2">
      <c r="A434" s="702">
        <v>1316</v>
      </c>
      <c r="B434" s="211" t="s">
        <v>1639</v>
      </c>
      <c r="C434" s="514" t="s">
        <v>1444</v>
      </c>
      <c r="D434" s="703" t="s">
        <v>1640</v>
      </c>
      <c r="E434" s="704">
        <v>2000</v>
      </c>
      <c r="F434" s="705" t="s">
        <v>1976</v>
      </c>
      <c r="G434" s="706" t="s">
        <v>1977</v>
      </c>
      <c r="H434" s="707" t="s">
        <v>1643</v>
      </c>
      <c r="I434" s="211" t="s">
        <v>1644</v>
      </c>
      <c r="J434" s="211" t="s">
        <v>1645</v>
      </c>
      <c r="K434" s="514">
        <v>3</v>
      </c>
      <c r="L434" s="514">
        <v>12</v>
      </c>
      <c r="M434" s="708">
        <f t="shared" si="11"/>
        <v>24000</v>
      </c>
      <c r="N434" s="709">
        <v>2</v>
      </c>
      <c r="O434" s="709">
        <v>6</v>
      </c>
      <c r="P434" s="708">
        <f t="shared" si="10"/>
        <v>12000</v>
      </c>
    </row>
    <row r="435" spans="1:16" ht="36" x14ac:dyDescent="0.2">
      <c r="A435" s="702">
        <v>1316</v>
      </c>
      <c r="B435" s="211" t="s">
        <v>1639</v>
      </c>
      <c r="C435" s="514" t="s">
        <v>1444</v>
      </c>
      <c r="D435" s="707" t="s">
        <v>1659</v>
      </c>
      <c r="E435" s="704">
        <v>1000</v>
      </c>
      <c r="F435" s="705" t="s">
        <v>1978</v>
      </c>
      <c r="G435" s="706" t="s">
        <v>1979</v>
      </c>
      <c r="H435" s="707" t="s">
        <v>1659</v>
      </c>
      <c r="I435" s="211" t="s">
        <v>1662</v>
      </c>
      <c r="J435" s="211" t="s">
        <v>1663</v>
      </c>
      <c r="K435" s="514">
        <v>3</v>
      </c>
      <c r="L435" s="514">
        <v>12</v>
      </c>
      <c r="M435" s="708">
        <f t="shared" si="11"/>
        <v>12000</v>
      </c>
      <c r="N435" s="709">
        <v>2</v>
      </c>
      <c r="O435" s="709">
        <v>6</v>
      </c>
      <c r="P435" s="708">
        <f t="shared" si="10"/>
        <v>6000</v>
      </c>
    </row>
    <row r="436" spans="1:16" ht="24" x14ac:dyDescent="0.2">
      <c r="A436" s="702">
        <v>1316</v>
      </c>
      <c r="B436" s="211" t="s">
        <v>1639</v>
      </c>
      <c r="C436" s="514" t="s">
        <v>1444</v>
      </c>
      <c r="D436" s="703" t="s">
        <v>1640</v>
      </c>
      <c r="E436" s="704">
        <v>2000</v>
      </c>
      <c r="F436" s="705" t="s">
        <v>1980</v>
      </c>
      <c r="G436" s="706" t="s">
        <v>1981</v>
      </c>
      <c r="H436" s="707" t="s">
        <v>1643</v>
      </c>
      <c r="I436" s="211" t="s">
        <v>1644</v>
      </c>
      <c r="J436" s="211" t="s">
        <v>1645</v>
      </c>
      <c r="K436" s="514">
        <v>3</v>
      </c>
      <c r="L436" s="514">
        <v>12</v>
      </c>
      <c r="M436" s="708">
        <f t="shared" si="11"/>
        <v>24000</v>
      </c>
      <c r="N436" s="709">
        <v>2</v>
      </c>
      <c r="O436" s="709">
        <v>6</v>
      </c>
      <c r="P436" s="708">
        <f t="shared" si="10"/>
        <v>12000</v>
      </c>
    </row>
    <row r="437" spans="1:16" ht="24" x14ac:dyDescent="0.2">
      <c r="A437" s="702">
        <v>1316</v>
      </c>
      <c r="B437" s="211" t="s">
        <v>1639</v>
      </c>
      <c r="C437" s="514" t="s">
        <v>1444</v>
      </c>
      <c r="D437" s="703" t="s">
        <v>1640</v>
      </c>
      <c r="E437" s="704">
        <v>2689</v>
      </c>
      <c r="F437" s="705" t="s">
        <v>1982</v>
      </c>
      <c r="G437" s="706" t="s">
        <v>1983</v>
      </c>
      <c r="H437" s="707" t="s">
        <v>1643</v>
      </c>
      <c r="I437" s="211" t="s">
        <v>1644</v>
      </c>
      <c r="J437" s="211" t="s">
        <v>1645</v>
      </c>
      <c r="K437" s="514">
        <v>3</v>
      </c>
      <c r="L437" s="514">
        <v>12</v>
      </c>
      <c r="M437" s="708">
        <f t="shared" si="11"/>
        <v>32268</v>
      </c>
      <c r="N437" s="709">
        <v>2</v>
      </c>
      <c r="O437" s="709">
        <v>6</v>
      </c>
      <c r="P437" s="708">
        <f t="shared" si="10"/>
        <v>16134</v>
      </c>
    </row>
    <row r="438" spans="1:16" ht="12.75" x14ac:dyDescent="0.2">
      <c r="A438" s="702">
        <v>1316</v>
      </c>
      <c r="B438" s="211" t="s">
        <v>1639</v>
      </c>
      <c r="C438" s="514" t="s">
        <v>1444</v>
      </c>
      <c r="D438" s="703" t="s">
        <v>1703</v>
      </c>
      <c r="E438" s="704">
        <v>3500</v>
      </c>
      <c r="F438" s="705" t="s">
        <v>1984</v>
      </c>
      <c r="G438" s="706" t="s">
        <v>1985</v>
      </c>
      <c r="H438" s="703" t="s">
        <v>1703</v>
      </c>
      <c r="I438" s="211" t="s">
        <v>1644</v>
      </c>
      <c r="J438" s="211" t="s">
        <v>1645</v>
      </c>
      <c r="K438" s="514">
        <v>3</v>
      </c>
      <c r="L438" s="514">
        <v>12</v>
      </c>
      <c r="M438" s="708">
        <f t="shared" si="11"/>
        <v>42000</v>
      </c>
      <c r="N438" s="709">
        <v>2</v>
      </c>
      <c r="O438" s="709">
        <v>6</v>
      </c>
      <c r="P438" s="708">
        <f t="shared" si="10"/>
        <v>21000</v>
      </c>
    </row>
    <row r="439" spans="1:16" ht="24" x14ac:dyDescent="0.2">
      <c r="A439" s="702">
        <v>1316</v>
      </c>
      <c r="B439" s="211" t="s">
        <v>1639</v>
      </c>
      <c r="C439" s="514" t="s">
        <v>1444</v>
      </c>
      <c r="D439" s="703" t="s">
        <v>1651</v>
      </c>
      <c r="E439" s="704">
        <v>1300</v>
      </c>
      <c r="F439" s="705" t="s">
        <v>1986</v>
      </c>
      <c r="G439" s="706" t="s">
        <v>1987</v>
      </c>
      <c r="H439" s="703" t="s">
        <v>1651</v>
      </c>
      <c r="I439" s="211" t="s">
        <v>1654</v>
      </c>
      <c r="J439" s="211" t="s">
        <v>1655</v>
      </c>
      <c r="K439" s="514">
        <v>3</v>
      </c>
      <c r="L439" s="514">
        <v>12</v>
      </c>
      <c r="M439" s="708">
        <f t="shared" si="11"/>
        <v>15600</v>
      </c>
      <c r="N439" s="709">
        <v>2</v>
      </c>
      <c r="O439" s="709">
        <v>6</v>
      </c>
      <c r="P439" s="708">
        <f t="shared" si="10"/>
        <v>7800</v>
      </c>
    </row>
    <row r="440" spans="1:16" ht="24" x14ac:dyDescent="0.2">
      <c r="A440" s="702">
        <v>1316</v>
      </c>
      <c r="B440" s="211" t="s">
        <v>1639</v>
      </c>
      <c r="C440" s="514" t="s">
        <v>1444</v>
      </c>
      <c r="D440" s="703" t="s">
        <v>1716</v>
      </c>
      <c r="E440" s="704">
        <v>1800</v>
      </c>
      <c r="F440" s="705" t="s">
        <v>1988</v>
      </c>
      <c r="G440" s="706" t="s">
        <v>1989</v>
      </c>
      <c r="H440" s="703" t="s">
        <v>1716</v>
      </c>
      <c r="I440" s="211" t="s">
        <v>1654</v>
      </c>
      <c r="J440" s="211" t="s">
        <v>1655</v>
      </c>
      <c r="K440" s="514">
        <v>2</v>
      </c>
      <c r="L440" s="514">
        <v>6</v>
      </c>
      <c r="M440" s="708">
        <f t="shared" si="11"/>
        <v>10800</v>
      </c>
      <c r="N440" s="709">
        <v>2</v>
      </c>
      <c r="O440" s="709">
        <v>6</v>
      </c>
      <c r="P440" s="708">
        <f t="shared" si="10"/>
        <v>10800</v>
      </c>
    </row>
    <row r="441" spans="1:16" ht="24" x14ac:dyDescent="0.2">
      <c r="A441" s="702">
        <v>1316</v>
      </c>
      <c r="B441" s="211" t="s">
        <v>1639</v>
      </c>
      <c r="C441" s="514" t="s">
        <v>1444</v>
      </c>
      <c r="D441" s="703" t="s">
        <v>904</v>
      </c>
      <c r="E441" s="704">
        <v>1000</v>
      </c>
      <c r="F441" s="705" t="s">
        <v>1990</v>
      </c>
      <c r="G441" s="706" t="s">
        <v>1991</v>
      </c>
      <c r="H441" s="703" t="s">
        <v>904</v>
      </c>
      <c r="I441" s="211" t="s">
        <v>1662</v>
      </c>
      <c r="J441" s="211" t="s">
        <v>1663</v>
      </c>
      <c r="K441" s="514">
        <v>3</v>
      </c>
      <c r="L441" s="514">
        <v>12</v>
      </c>
      <c r="M441" s="708">
        <f t="shared" si="11"/>
        <v>12000</v>
      </c>
      <c r="N441" s="709">
        <v>2</v>
      </c>
      <c r="O441" s="709">
        <v>6</v>
      </c>
      <c r="P441" s="708">
        <f t="shared" si="10"/>
        <v>6000</v>
      </c>
    </row>
    <row r="442" spans="1:16" ht="24" x14ac:dyDescent="0.2">
      <c r="A442" s="702">
        <v>1316</v>
      </c>
      <c r="B442" s="211" t="s">
        <v>1639</v>
      </c>
      <c r="C442" s="514" t="s">
        <v>1444</v>
      </c>
      <c r="D442" s="707" t="s">
        <v>1673</v>
      </c>
      <c r="E442" s="704">
        <v>2000</v>
      </c>
      <c r="F442" s="705" t="s">
        <v>1992</v>
      </c>
      <c r="G442" s="706" t="s">
        <v>1993</v>
      </c>
      <c r="H442" s="707" t="s">
        <v>1676</v>
      </c>
      <c r="I442" s="211" t="s">
        <v>1644</v>
      </c>
      <c r="J442" s="211" t="s">
        <v>1645</v>
      </c>
      <c r="K442" s="514">
        <v>3</v>
      </c>
      <c r="L442" s="514">
        <v>12</v>
      </c>
      <c r="M442" s="708">
        <f t="shared" si="11"/>
        <v>24000</v>
      </c>
      <c r="N442" s="709">
        <v>2</v>
      </c>
      <c r="O442" s="709">
        <v>6</v>
      </c>
      <c r="P442" s="708">
        <f t="shared" si="10"/>
        <v>12000</v>
      </c>
    </row>
    <row r="443" spans="1:16" ht="24" x14ac:dyDescent="0.2">
      <c r="A443" s="702">
        <v>1316</v>
      </c>
      <c r="B443" s="211" t="s">
        <v>1639</v>
      </c>
      <c r="C443" s="514" t="s">
        <v>1444</v>
      </c>
      <c r="D443" s="707" t="s">
        <v>1994</v>
      </c>
      <c r="E443" s="704">
        <v>1600</v>
      </c>
      <c r="F443" s="705" t="s">
        <v>1995</v>
      </c>
      <c r="G443" s="706" t="s">
        <v>1996</v>
      </c>
      <c r="H443" s="707" t="s">
        <v>1994</v>
      </c>
      <c r="I443" s="211" t="s">
        <v>1654</v>
      </c>
      <c r="J443" s="211" t="s">
        <v>1655</v>
      </c>
      <c r="K443" s="514">
        <v>3</v>
      </c>
      <c r="L443" s="514">
        <v>12</v>
      </c>
      <c r="M443" s="708">
        <f t="shared" si="11"/>
        <v>19200</v>
      </c>
      <c r="N443" s="709">
        <v>2</v>
      </c>
      <c r="O443" s="709">
        <v>6</v>
      </c>
      <c r="P443" s="708">
        <f t="shared" si="10"/>
        <v>9600</v>
      </c>
    </row>
    <row r="444" spans="1:16" ht="36" x14ac:dyDescent="0.2">
      <c r="A444" s="702">
        <v>1316</v>
      </c>
      <c r="B444" s="211" t="s">
        <v>1639</v>
      </c>
      <c r="C444" s="514" t="s">
        <v>1444</v>
      </c>
      <c r="D444" s="703" t="s">
        <v>1659</v>
      </c>
      <c r="E444" s="704">
        <v>1000</v>
      </c>
      <c r="F444" s="705" t="s">
        <v>1997</v>
      </c>
      <c r="G444" s="706" t="s">
        <v>1998</v>
      </c>
      <c r="H444" s="703" t="s">
        <v>1659</v>
      </c>
      <c r="I444" s="211" t="s">
        <v>1662</v>
      </c>
      <c r="J444" s="211" t="s">
        <v>1663</v>
      </c>
      <c r="K444" s="514">
        <v>3</v>
      </c>
      <c r="L444" s="514">
        <v>12</v>
      </c>
      <c r="M444" s="708">
        <f t="shared" si="11"/>
        <v>12000</v>
      </c>
      <c r="N444" s="709">
        <v>2</v>
      </c>
      <c r="O444" s="709">
        <v>6</v>
      </c>
      <c r="P444" s="708">
        <f t="shared" si="10"/>
        <v>6000</v>
      </c>
    </row>
    <row r="445" spans="1:16" ht="24" x14ac:dyDescent="0.2">
      <c r="A445" s="702">
        <v>1316</v>
      </c>
      <c r="B445" s="211" t="s">
        <v>1639</v>
      </c>
      <c r="C445" s="514" t="s">
        <v>1444</v>
      </c>
      <c r="D445" s="707" t="s">
        <v>1999</v>
      </c>
      <c r="E445" s="704">
        <v>1200</v>
      </c>
      <c r="F445" s="705" t="s">
        <v>2000</v>
      </c>
      <c r="G445" s="706" t="s">
        <v>2001</v>
      </c>
      <c r="H445" s="707" t="s">
        <v>1999</v>
      </c>
      <c r="I445" s="211" t="s">
        <v>1644</v>
      </c>
      <c r="J445" s="211" t="s">
        <v>1645</v>
      </c>
      <c r="K445" s="514">
        <v>3</v>
      </c>
      <c r="L445" s="514">
        <v>12</v>
      </c>
      <c r="M445" s="708">
        <f t="shared" si="11"/>
        <v>14400</v>
      </c>
      <c r="N445" s="709">
        <v>2</v>
      </c>
      <c r="O445" s="709">
        <v>6</v>
      </c>
      <c r="P445" s="708">
        <f t="shared" si="10"/>
        <v>7200</v>
      </c>
    </row>
    <row r="446" spans="1:16" ht="24" x14ac:dyDescent="0.2">
      <c r="A446" s="702">
        <v>1316</v>
      </c>
      <c r="B446" s="211" t="s">
        <v>1639</v>
      </c>
      <c r="C446" s="514" t="s">
        <v>1444</v>
      </c>
      <c r="D446" s="707" t="s">
        <v>1673</v>
      </c>
      <c r="E446" s="704">
        <v>2000</v>
      </c>
      <c r="F446" s="705" t="s">
        <v>2002</v>
      </c>
      <c r="G446" s="706" t="s">
        <v>2003</v>
      </c>
      <c r="H446" s="707" t="s">
        <v>1676</v>
      </c>
      <c r="I446" s="211" t="s">
        <v>1644</v>
      </c>
      <c r="J446" s="211" t="s">
        <v>1645</v>
      </c>
      <c r="K446" s="514">
        <v>3</v>
      </c>
      <c r="L446" s="514">
        <v>12</v>
      </c>
      <c r="M446" s="708">
        <f t="shared" si="11"/>
        <v>24000</v>
      </c>
      <c r="N446" s="709">
        <v>2</v>
      </c>
      <c r="O446" s="709">
        <v>6</v>
      </c>
      <c r="P446" s="708">
        <f t="shared" si="10"/>
        <v>12000</v>
      </c>
    </row>
    <row r="447" spans="1:16" ht="36" x14ac:dyDescent="0.2">
      <c r="A447" s="702">
        <v>1316</v>
      </c>
      <c r="B447" s="211" t="s">
        <v>1639</v>
      </c>
      <c r="C447" s="514" t="s">
        <v>1444</v>
      </c>
      <c r="D447" s="703" t="s">
        <v>1659</v>
      </c>
      <c r="E447" s="704">
        <v>1000</v>
      </c>
      <c r="F447" s="705" t="s">
        <v>2004</v>
      </c>
      <c r="G447" s="706" t="s">
        <v>2005</v>
      </c>
      <c r="H447" s="703" t="s">
        <v>1659</v>
      </c>
      <c r="I447" s="211" t="s">
        <v>1662</v>
      </c>
      <c r="J447" s="211" t="s">
        <v>1663</v>
      </c>
      <c r="K447" s="514">
        <v>3</v>
      </c>
      <c r="L447" s="514">
        <v>12</v>
      </c>
      <c r="M447" s="708">
        <f t="shared" si="11"/>
        <v>12000</v>
      </c>
      <c r="N447" s="709">
        <v>2</v>
      </c>
      <c r="O447" s="709">
        <v>6</v>
      </c>
      <c r="P447" s="708">
        <f t="shared" si="10"/>
        <v>6000</v>
      </c>
    </row>
    <row r="448" spans="1:16" ht="36" x14ac:dyDescent="0.2">
      <c r="A448" s="702">
        <v>1316</v>
      </c>
      <c r="B448" s="211" t="s">
        <v>1639</v>
      </c>
      <c r="C448" s="514" t="s">
        <v>1444</v>
      </c>
      <c r="D448" s="707" t="s">
        <v>2006</v>
      </c>
      <c r="E448" s="704">
        <v>3500</v>
      </c>
      <c r="F448" s="705" t="s">
        <v>2007</v>
      </c>
      <c r="G448" s="706" t="s">
        <v>2008</v>
      </c>
      <c r="H448" s="707" t="s">
        <v>2006</v>
      </c>
      <c r="I448" s="211" t="s">
        <v>1644</v>
      </c>
      <c r="J448" s="211" t="s">
        <v>1645</v>
      </c>
      <c r="K448" s="514">
        <v>3</v>
      </c>
      <c r="L448" s="514">
        <v>12</v>
      </c>
      <c r="M448" s="708">
        <f t="shared" si="11"/>
        <v>42000</v>
      </c>
      <c r="N448" s="709">
        <v>2</v>
      </c>
      <c r="O448" s="709">
        <v>6</v>
      </c>
      <c r="P448" s="708">
        <f t="shared" si="10"/>
        <v>21000</v>
      </c>
    </row>
    <row r="449" spans="1:16" ht="24" x14ac:dyDescent="0.2">
      <c r="A449" s="702">
        <v>1316</v>
      </c>
      <c r="B449" s="211" t="s">
        <v>1639</v>
      </c>
      <c r="C449" s="514" t="s">
        <v>1444</v>
      </c>
      <c r="D449" s="703" t="s">
        <v>1640</v>
      </c>
      <c r="E449" s="704">
        <v>2500</v>
      </c>
      <c r="F449" s="705" t="s">
        <v>2009</v>
      </c>
      <c r="G449" s="706" t="s">
        <v>2010</v>
      </c>
      <c r="H449" s="707" t="s">
        <v>1643</v>
      </c>
      <c r="I449" s="211" t="s">
        <v>1644</v>
      </c>
      <c r="J449" s="211" t="s">
        <v>1645</v>
      </c>
      <c r="K449" s="514">
        <v>2</v>
      </c>
      <c r="L449" s="514">
        <v>6</v>
      </c>
      <c r="M449" s="708">
        <f t="shared" si="11"/>
        <v>15000</v>
      </c>
      <c r="N449" s="709">
        <v>2</v>
      </c>
      <c r="O449" s="709">
        <v>6</v>
      </c>
      <c r="P449" s="708">
        <f t="shared" si="10"/>
        <v>15000</v>
      </c>
    </row>
    <row r="450" spans="1:16" ht="24" x14ac:dyDescent="0.2">
      <c r="A450" s="702">
        <v>1316</v>
      </c>
      <c r="B450" s="211" t="s">
        <v>1639</v>
      </c>
      <c r="C450" s="514" t="s">
        <v>1444</v>
      </c>
      <c r="D450" s="703" t="s">
        <v>1651</v>
      </c>
      <c r="E450" s="704">
        <v>1300</v>
      </c>
      <c r="F450" s="705" t="s">
        <v>2011</v>
      </c>
      <c r="G450" s="706" t="s">
        <v>2012</v>
      </c>
      <c r="H450" s="703" t="s">
        <v>1651</v>
      </c>
      <c r="I450" s="211" t="s">
        <v>1654</v>
      </c>
      <c r="J450" s="211" t="s">
        <v>1655</v>
      </c>
      <c r="K450" s="514">
        <v>3</v>
      </c>
      <c r="L450" s="514">
        <v>12</v>
      </c>
      <c r="M450" s="708">
        <f t="shared" si="11"/>
        <v>15600</v>
      </c>
      <c r="N450" s="709">
        <v>2</v>
      </c>
      <c r="O450" s="709">
        <v>6</v>
      </c>
      <c r="P450" s="708">
        <f t="shared" si="10"/>
        <v>7800</v>
      </c>
    </row>
    <row r="451" spans="1:16" ht="24" x14ac:dyDescent="0.2">
      <c r="A451" s="702">
        <v>1316</v>
      </c>
      <c r="B451" s="211" t="s">
        <v>1639</v>
      </c>
      <c r="C451" s="514" t="s">
        <v>1444</v>
      </c>
      <c r="D451" s="703" t="s">
        <v>1651</v>
      </c>
      <c r="E451" s="704">
        <v>1300</v>
      </c>
      <c r="F451" s="705" t="s">
        <v>2013</v>
      </c>
      <c r="G451" s="706" t="s">
        <v>2014</v>
      </c>
      <c r="H451" s="703" t="s">
        <v>1651</v>
      </c>
      <c r="I451" s="211" t="s">
        <v>1654</v>
      </c>
      <c r="J451" s="211" t="s">
        <v>1655</v>
      </c>
      <c r="K451" s="514">
        <v>3</v>
      </c>
      <c r="L451" s="514">
        <v>12</v>
      </c>
      <c r="M451" s="708">
        <f t="shared" si="11"/>
        <v>15600</v>
      </c>
      <c r="N451" s="709">
        <v>2</v>
      </c>
      <c r="O451" s="709">
        <v>6</v>
      </c>
      <c r="P451" s="708">
        <f t="shared" si="10"/>
        <v>7800</v>
      </c>
    </row>
    <row r="452" spans="1:16" ht="24" x14ac:dyDescent="0.2">
      <c r="A452" s="702">
        <v>1316</v>
      </c>
      <c r="B452" s="211" t="s">
        <v>1639</v>
      </c>
      <c r="C452" s="514" t="s">
        <v>1444</v>
      </c>
      <c r="D452" s="703" t="s">
        <v>1640</v>
      </c>
      <c r="E452" s="704">
        <v>2689</v>
      </c>
      <c r="F452" s="705" t="s">
        <v>2015</v>
      </c>
      <c r="G452" s="706" t="s">
        <v>2016</v>
      </c>
      <c r="H452" s="707" t="s">
        <v>1643</v>
      </c>
      <c r="I452" s="211" t="s">
        <v>1644</v>
      </c>
      <c r="J452" s="211" t="s">
        <v>1645</v>
      </c>
      <c r="K452" s="514">
        <v>2</v>
      </c>
      <c r="L452" s="514">
        <v>6</v>
      </c>
      <c r="M452" s="708">
        <f t="shared" si="11"/>
        <v>16134</v>
      </c>
      <c r="N452" s="709">
        <v>2</v>
      </c>
      <c r="O452" s="709">
        <v>6</v>
      </c>
      <c r="P452" s="708">
        <f t="shared" si="10"/>
        <v>16134</v>
      </c>
    </row>
    <row r="453" spans="1:16" ht="24" x14ac:dyDescent="0.2">
      <c r="A453" s="702">
        <v>1316</v>
      </c>
      <c r="B453" s="211" t="s">
        <v>1639</v>
      </c>
      <c r="C453" s="514" t="s">
        <v>1444</v>
      </c>
      <c r="D453" s="703" t="s">
        <v>1651</v>
      </c>
      <c r="E453" s="704">
        <v>1834</v>
      </c>
      <c r="F453" s="705" t="s">
        <v>2017</v>
      </c>
      <c r="G453" s="706" t="s">
        <v>2018</v>
      </c>
      <c r="H453" s="703" t="s">
        <v>1651</v>
      </c>
      <c r="I453" s="211" t="s">
        <v>1654</v>
      </c>
      <c r="J453" s="211" t="s">
        <v>1655</v>
      </c>
      <c r="K453" s="514">
        <v>2</v>
      </c>
      <c r="L453" s="514">
        <v>6</v>
      </c>
      <c r="M453" s="708">
        <f t="shared" si="11"/>
        <v>11004</v>
      </c>
      <c r="N453" s="709">
        <v>2</v>
      </c>
      <c r="O453" s="709">
        <v>6</v>
      </c>
      <c r="P453" s="708">
        <f t="shared" si="10"/>
        <v>11004</v>
      </c>
    </row>
    <row r="454" spans="1:16" ht="24" x14ac:dyDescent="0.2">
      <c r="A454" s="702">
        <v>1316</v>
      </c>
      <c r="B454" s="211" t="s">
        <v>1639</v>
      </c>
      <c r="C454" s="514" t="s">
        <v>1444</v>
      </c>
      <c r="D454" s="703" t="s">
        <v>904</v>
      </c>
      <c r="E454" s="704">
        <v>1000</v>
      </c>
      <c r="F454" s="705" t="s">
        <v>2019</v>
      </c>
      <c r="G454" s="706" t="s">
        <v>2020</v>
      </c>
      <c r="H454" s="703" t="s">
        <v>904</v>
      </c>
      <c r="I454" s="211" t="s">
        <v>1662</v>
      </c>
      <c r="J454" s="211" t="s">
        <v>1663</v>
      </c>
      <c r="K454" s="514">
        <v>3</v>
      </c>
      <c r="L454" s="514">
        <v>12</v>
      </c>
      <c r="M454" s="708">
        <f t="shared" si="11"/>
        <v>12000</v>
      </c>
      <c r="N454" s="709">
        <v>2</v>
      </c>
      <c r="O454" s="709">
        <v>6</v>
      </c>
      <c r="P454" s="708">
        <f t="shared" si="10"/>
        <v>6000</v>
      </c>
    </row>
    <row r="455" spans="1:16" ht="24" x14ac:dyDescent="0.2">
      <c r="A455" s="702">
        <v>1316</v>
      </c>
      <c r="B455" s="211" t="s">
        <v>1639</v>
      </c>
      <c r="C455" s="514" t="s">
        <v>1444</v>
      </c>
      <c r="D455" s="703" t="s">
        <v>2021</v>
      </c>
      <c r="E455" s="704">
        <v>2500</v>
      </c>
      <c r="F455" s="705" t="s">
        <v>2022</v>
      </c>
      <c r="G455" s="706" t="s">
        <v>2023</v>
      </c>
      <c r="H455" s="703" t="s">
        <v>2024</v>
      </c>
      <c r="I455" s="211" t="s">
        <v>1644</v>
      </c>
      <c r="J455" s="211" t="s">
        <v>1645</v>
      </c>
      <c r="K455" s="514">
        <v>2</v>
      </c>
      <c r="L455" s="514">
        <v>6</v>
      </c>
      <c r="M455" s="708">
        <f t="shared" si="11"/>
        <v>15000</v>
      </c>
      <c r="N455" s="709">
        <v>2</v>
      </c>
      <c r="O455" s="709">
        <v>6</v>
      </c>
      <c r="P455" s="708">
        <f t="shared" si="10"/>
        <v>15000</v>
      </c>
    </row>
    <row r="456" spans="1:16" ht="24" x14ac:dyDescent="0.2">
      <c r="A456" s="702">
        <v>1316</v>
      </c>
      <c r="B456" s="211" t="s">
        <v>1639</v>
      </c>
      <c r="C456" s="514" t="s">
        <v>1444</v>
      </c>
      <c r="D456" s="703" t="s">
        <v>1640</v>
      </c>
      <c r="E456" s="704">
        <v>2000</v>
      </c>
      <c r="F456" s="705" t="s">
        <v>2025</v>
      </c>
      <c r="G456" s="706" t="s">
        <v>2026</v>
      </c>
      <c r="H456" s="707" t="s">
        <v>1643</v>
      </c>
      <c r="I456" s="211" t="s">
        <v>1644</v>
      </c>
      <c r="J456" s="211" t="s">
        <v>1645</v>
      </c>
      <c r="K456" s="514">
        <v>3</v>
      </c>
      <c r="L456" s="514">
        <v>12</v>
      </c>
      <c r="M456" s="708">
        <f t="shared" si="11"/>
        <v>24000</v>
      </c>
      <c r="N456" s="709">
        <v>2</v>
      </c>
      <c r="O456" s="709">
        <v>6</v>
      </c>
      <c r="P456" s="708">
        <f t="shared" si="10"/>
        <v>12000</v>
      </c>
    </row>
    <row r="457" spans="1:16" ht="24" x14ac:dyDescent="0.2">
      <c r="A457" s="702">
        <v>1316</v>
      </c>
      <c r="B457" s="211" t="s">
        <v>1639</v>
      </c>
      <c r="C457" s="514" t="s">
        <v>1444</v>
      </c>
      <c r="D457" s="707" t="s">
        <v>1673</v>
      </c>
      <c r="E457" s="704">
        <v>2300</v>
      </c>
      <c r="F457" s="705" t="s">
        <v>2027</v>
      </c>
      <c r="G457" s="706" t="s">
        <v>2028</v>
      </c>
      <c r="H457" s="707" t="s">
        <v>1676</v>
      </c>
      <c r="I457" s="211" t="s">
        <v>1644</v>
      </c>
      <c r="J457" s="211" t="s">
        <v>1645</v>
      </c>
      <c r="K457" s="514">
        <v>3</v>
      </c>
      <c r="L457" s="514">
        <v>12</v>
      </c>
      <c r="M457" s="708">
        <f t="shared" si="11"/>
        <v>27600</v>
      </c>
      <c r="N457" s="709">
        <v>2</v>
      </c>
      <c r="O457" s="709">
        <v>6</v>
      </c>
      <c r="P457" s="708">
        <f t="shared" si="10"/>
        <v>13800</v>
      </c>
    </row>
    <row r="458" spans="1:16" ht="36" x14ac:dyDescent="0.2">
      <c r="A458" s="702">
        <v>1316</v>
      </c>
      <c r="B458" s="211" t="s">
        <v>1639</v>
      </c>
      <c r="C458" s="514" t="s">
        <v>1444</v>
      </c>
      <c r="D458" s="707" t="s">
        <v>2029</v>
      </c>
      <c r="E458" s="704">
        <v>1500</v>
      </c>
      <c r="F458" s="705" t="s">
        <v>2030</v>
      </c>
      <c r="G458" s="706" t="s">
        <v>2031</v>
      </c>
      <c r="H458" s="707" t="s">
        <v>2029</v>
      </c>
      <c r="I458" s="211" t="s">
        <v>1654</v>
      </c>
      <c r="J458" s="211" t="s">
        <v>1655</v>
      </c>
      <c r="K458" s="514">
        <v>3</v>
      </c>
      <c r="L458" s="514">
        <v>12</v>
      </c>
      <c r="M458" s="708">
        <f t="shared" si="11"/>
        <v>18000</v>
      </c>
      <c r="N458" s="709">
        <v>2</v>
      </c>
      <c r="O458" s="709">
        <v>6</v>
      </c>
      <c r="P458" s="708">
        <f t="shared" si="10"/>
        <v>9000</v>
      </c>
    </row>
    <row r="459" spans="1:16" ht="24" x14ac:dyDescent="0.2">
      <c r="A459" s="702">
        <v>1316</v>
      </c>
      <c r="B459" s="211" t="s">
        <v>1639</v>
      </c>
      <c r="C459" s="514" t="s">
        <v>1444</v>
      </c>
      <c r="D459" s="703" t="s">
        <v>1651</v>
      </c>
      <c r="E459" s="704">
        <v>1300</v>
      </c>
      <c r="F459" s="705" t="s">
        <v>2032</v>
      </c>
      <c r="G459" s="706" t="s">
        <v>2033</v>
      </c>
      <c r="H459" s="703" t="s">
        <v>1651</v>
      </c>
      <c r="I459" s="211" t="s">
        <v>1654</v>
      </c>
      <c r="J459" s="211" t="s">
        <v>1655</v>
      </c>
      <c r="K459" s="514">
        <v>3</v>
      </c>
      <c r="L459" s="514">
        <v>12</v>
      </c>
      <c r="M459" s="708">
        <f t="shared" si="11"/>
        <v>15600</v>
      </c>
      <c r="N459" s="709">
        <v>2</v>
      </c>
      <c r="O459" s="709">
        <v>6</v>
      </c>
      <c r="P459" s="708">
        <f t="shared" si="10"/>
        <v>7800</v>
      </c>
    </row>
    <row r="460" spans="1:16" ht="24" x14ac:dyDescent="0.2">
      <c r="A460" s="702">
        <v>1316</v>
      </c>
      <c r="B460" s="211" t="s">
        <v>1639</v>
      </c>
      <c r="C460" s="514" t="s">
        <v>1444</v>
      </c>
      <c r="D460" s="707" t="s">
        <v>695</v>
      </c>
      <c r="E460" s="704">
        <v>2000</v>
      </c>
      <c r="F460" s="705" t="s">
        <v>2034</v>
      </c>
      <c r="G460" s="706" t="s">
        <v>2035</v>
      </c>
      <c r="H460" s="707" t="s">
        <v>1697</v>
      </c>
      <c r="I460" s="211" t="s">
        <v>1644</v>
      </c>
      <c r="J460" s="211" t="s">
        <v>1645</v>
      </c>
      <c r="K460" s="514">
        <v>3</v>
      </c>
      <c r="L460" s="514">
        <v>12</v>
      </c>
      <c r="M460" s="708">
        <f t="shared" si="11"/>
        <v>24000</v>
      </c>
      <c r="N460" s="709">
        <v>2</v>
      </c>
      <c r="O460" s="709">
        <v>6</v>
      </c>
      <c r="P460" s="708">
        <f t="shared" si="10"/>
        <v>12000</v>
      </c>
    </row>
    <row r="461" spans="1:16" ht="36" x14ac:dyDescent="0.2">
      <c r="A461" s="702">
        <v>1316</v>
      </c>
      <c r="B461" s="211" t="s">
        <v>1639</v>
      </c>
      <c r="C461" s="514" t="s">
        <v>1444</v>
      </c>
      <c r="D461" s="707" t="s">
        <v>1659</v>
      </c>
      <c r="E461" s="704">
        <v>1000</v>
      </c>
      <c r="F461" s="705" t="s">
        <v>2036</v>
      </c>
      <c r="G461" s="706" t="s">
        <v>2037</v>
      </c>
      <c r="H461" s="707" t="s">
        <v>1659</v>
      </c>
      <c r="I461" s="211" t="s">
        <v>1662</v>
      </c>
      <c r="J461" s="211" t="s">
        <v>1663</v>
      </c>
      <c r="K461" s="514">
        <v>3</v>
      </c>
      <c r="L461" s="514">
        <v>12</v>
      </c>
      <c r="M461" s="708">
        <f t="shared" si="11"/>
        <v>12000</v>
      </c>
      <c r="N461" s="709">
        <v>2</v>
      </c>
      <c r="O461" s="709">
        <v>6</v>
      </c>
      <c r="P461" s="708">
        <f t="shared" si="10"/>
        <v>6000</v>
      </c>
    </row>
    <row r="462" spans="1:16" ht="24" x14ac:dyDescent="0.2">
      <c r="A462" s="702">
        <v>1316</v>
      </c>
      <c r="B462" s="211" t="s">
        <v>1639</v>
      </c>
      <c r="C462" s="514" t="s">
        <v>1444</v>
      </c>
      <c r="D462" s="703" t="s">
        <v>1640</v>
      </c>
      <c r="E462" s="704">
        <v>2300</v>
      </c>
      <c r="F462" s="705" t="s">
        <v>2038</v>
      </c>
      <c r="G462" s="706" t="s">
        <v>2039</v>
      </c>
      <c r="H462" s="707" t="s">
        <v>1643</v>
      </c>
      <c r="I462" s="211" t="s">
        <v>1644</v>
      </c>
      <c r="J462" s="211" t="s">
        <v>1645</v>
      </c>
      <c r="K462" s="514">
        <v>3</v>
      </c>
      <c r="L462" s="514">
        <v>12</v>
      </c>
      <c r="M462" s="708">
        <f t="shared" si="11"/>
        <v>27600</v>
      </c>
      <c r="N462" s="709">
        <v>2</v>
      </c>
      <c r="O462" s="709">
        <v>6</v>
      </c>
      <c r="P462" s="708">
        <f t="shared" si="10"/>
        <v>13800</v>
      </c>
    </row>
    <row r="463" spans="1:16" ht="24" x14ac:dyDescent="0.2">
      <c r="A463" s="702">
        <v>1316</v>
      </c>
      <c r="B463" s="211" t="s">
        <v>1639</v>
      </c>
      <c r="C463" s="514" t="s">
        <v>1444</v>
      </c>
      <c r="D463" s="703" t="s">
        <v>1656</v>
      </c>
      <c r="E463" s="704">
        <v>1300</v>
      </c>
      <c r="F463" s="705" t="s">
        <v>2040</v>
      </c>
      <c r="G463" s="706" t="s">
        <v>2041</v>
      </c>
      <c r="H463" s="703" t="s">
        <v>1656</v>
      </c>
      <c r="I463" s="211" t="s">
        <v>1654</v>
      </c>
      <c r="J463" s="211" t="s">
        <v>1655</v>
      </c>
      <c r="K463" s="514">
        <v>3</v>
      </c>
      <c r="L463" s="514">
        <v>12</v>
      </c>
      <c r="M463" s="708">
        <f t="shared" si="11"/>
        <v>15600</v>
      </c>
      <c r="N463" s="709">
        <v>2</v>
      </c>
      <c r="O463" s="709">
        <v>6</v>
      </c>
      <c r="P463" s="708">
        <f t="shared" si="10"/>
        <v>7800</v>
      </c>
    </row>
    <row r="464" spans="1:16" ht="24" x14ac:dyDescent="0.2">
      <c r="A464" s="702">
        <v>1316</v>
      </c>
      <c r="B464" s="211" t="s">
        <v>1639</v>
      </c>
      <c r="C464" s="514" t="s">
        <v>1444</v>
      </c>
      <c r="D464" s="703" t="s">
        <v>1640</v>
      </c>
      <c r="E464" s="704">
        <v>2300</v>
      </c>
      <c r="F464" s="705" t="s">
        <v>2042</v>
      </c>
      <c r="G464" s="706" t="s">
        <v>2043</v>
      </c>
      <c r="H464" s="707" t="s">
        <v>1643</v>
      </c>
      <c r="I464" s="211" t="s">
        <v>1644</v>
      </c>
      <c r="J464" s="211" t="s">
        <v>1645</v>
      </c>
      <c r="K464" s="514">
        <v>3</v>
      </c>
      <c r="L464" s="514">
        <v>12</v>
      </c>
      <c r="M464" s="708">
        <f t="shared" si="11"/>
        <v>27600</v>
      </c>
      <c r="N464" s="709">
        <v>2</v>
      </c>
      <c r="O464" s="709">
        <v>6</v>
      </c>
      <c r="P464" s="708">
        <f t="shared" si="10"/>
        <v>13800</v>
      </c>
    </row>
    <row r="465" spans="1:16" ht="36" x14ac:dyDescent="0.2">
      <c r="A465" s="702">
        <v>1316</v>
      </c>
      <c r="B465" s="211" t="s">
        <v>1639</v>
      </c>
      <c r="C465" s="514" t="s">
        <v>1444</v>
      </c>
      <c r="D465" s="707" t="s">
        <v>2044</v>
      </c>
      <c r="E465" s="704">
        <v>1600</v>
      </c>
      <c r="F465" s="705" t="s">
        <v>2045</v>
      </c>
      <c r="G465" s="706" t="s">
        <v>2046</v>
      </c>
      <c r="H465" s="707" t="s">
        <v>2044</v>
      </c>
      <c r="I465" s="211" t="s">
        <v>1654</v>
      </c>
      <c r="J465" s="211" t="s">
        <v>1655</v>
      </c>
      <c r="K465" s="514">
        <v>3</v>
      </c>
      <c r="L465" s="514">
        <v>12</v>
      </c>
      <c r="M465" s="708">
        <f t="shared" si="11"/>
        <v>19200</v>
      </c>
      <c r="N465" s="709">
        <v>2</v>
      </c>
      <c r="O465" s="709">
        <v>6</v>
      </c>
      <c r="P465" s="708">
        <f t="shared" si="10"/>
        <v>9600</v>
      </c>
    </row>
    <row r="466" spans="1:16" ht="24" x14ac:dyDescent="0.2">
      <c r="A466" s="702">
        <v>1316</v>
      </c>
      <c r="B466" s="211" t="s">
        <v>1639</v>
      </c>
      <c r="C466" s="514" t="s">
        <v>1444</v>
      </c>
      <c r="D466" s="703" t="s">
        <v>2047</v>
      </c>
      <c r="E466" s="704">
        <v>2000</v>
      </c>
      <c r="F466" s="705" t="s">
        <v>2045</v>
      </c>
      <c r="G466" s="706" t="s">
        <v>2046</v>
      </c>
      <c r="H466" s="703" t="s">
        <v>2047</v>
      </c>
      <c r="I466" s="211" t="s">
        <v>1654</v>
      </c>
      <c r="J466" s="211" t="s">
        <v>1655</v>
      </c>
      <c r="K466" s="514">
        <v>0</v>
      </c>
      <c r="L466" s="514">
        <v>0</v>
      </c>
      <c r="M466" s="211">
        <v>0</v>
      </c>
      <c r="N466" s="709">
        <v>1</v>
      </c>
      <c r="O466" s="709">
        <v>1</v>
      </c>
      <c r="P466" s="708">
        <f t="shared" si="10"/>
        <v>2000</v>
      </c>
    </row>
    <row r="467" spans="1:16" ht="36" x14ac:dyDescent="0.2">
      <c r="A467" s="702">
        <v>1316</v>
      </c>
      <c r="B467" s="211" t="s">
        <v>1639</v>
      </c>
      <c r="C467" s="514" t="s">
        <v>1444</v>
      </c>
      <c r="D467" s="707" t="s">
        <v>1659</v>
      </c>
      <c r="E467" s="704">
        <v>1000</v>
      </c>
      <c r="F467" s="705" t="s">
        <v>2048</v>
      </c>
      <c r="G467" s="706" t="s">
        <v>2049</v>
      </c>
      <c r="H467" s="707" t="s">
        <v>1659</v>
      </c>
      <c r="I467" s="211" t="s">
        <v>1662</v>
      </c>
      <c r="J467" s="211" t="s">
        <v>1663</v>
      </c>
      <c r="K467" s="514">
        <v>3</v>
      </c>
      <c r="L467" s="514">
        <v>12</v>
      </c>
      <c r="M467" s="708">
        <f t="shared" ref="M467:M484" si="12">L467*E467</f>
        <v>12000</v>
      </c>
      <c r="N467" s="709">
        <v>2</v>
      </c>
      <c r="O467" s="709">
        <v>6</v>
      </c>
      <c r="P467" s="708">
        <f t="shared" si="10"/>
        <v>6000</v>
      </c>
    </row>
    <row r="468" spans="1:16" ht="24" x14ac:dyDescent="0.2">
      <c r="A468" s="702">
        <v>1316</v>
      </c>
      <c r="B468" s="211" t="s">
        <v>1639</v>
      </c>
      <c r="C468" s="514" t="s">
        <v>1444</v>
      </c>
      <c r="D468" s="703" t="s">
        <v>1651</v>
      </c>
      <c r="E468" s="704">
        <v>1300</v>
      </c>
      <c r="F468" s="705" t="s">
        <v>2050</v>
      </c>
      <c r="G468" s="706" t="s">
        <v>2051</v>
      </c>
      <c r="H468" s="703" t="s">
        <v>1651</v>
      </c>
      <c r="I468" s="211" t="s">
        <v>1654</v>
      </c>
      <c r="J468" s="211" t="s">
        <v>1655</v>
      </c>
      <c r="K468" s="514">
        <v>3</v>
      </c>
      <c r="L468" s="514">
        <v>12</v>
      </c>
      <c r="M468" s="708">
        <f t="shared" si="12"/>
        <v>15600</v>
      </c>
      <c r="N468" s="709">
        <v>2</v>
      </c>
      <c r="O468" s="709">
        <v>6</v>
      </c>
      <c r="P468" s="708">
        <f t="shared" si="10"/>
        <v>7800</v>
      </c>
    </row>
    <row r="469" spans="1:16" ht="24" x14ac:dyDescent="0.2">
      <c r="A469" s="702">
        <v>1316</v>
      </c>
      <c r="B469" s="211" t="s">
        <v>1639</v>
      </c>
      <c r="C469" s="514" t="s">
        <v>1444</v>
      </c>
      <c r="D469" s="703" t="s">
        <v>1673</v>
      </c>
      <c r="E469" s="704">
        <v>1700</v>
      </c>
      <c r="F469" s="705" t="s">
        <v>2052</v>
      </c>
      <c r="G469" s="706" t="s">
        <v>2053</v>
      </c>
      <c r="H469" s="707" t="s">
        <v>1676</v>
      </c>
      <c r="I469" s="211" t="s">
        <v>1644</v>
      </c>
      <c r="J469" s="211" t="s">
        <v>1645</v>
      </c>
      <c r="K469" s="514">
        <v>3</v>
      </c>
      <c r="L469" s="514">
        <v>12</v>
      </c>
      <c r="M469" s="708">
        <f t="shared" si="12"/>
        <v>20400</v>
      </c>
      <c r="N469" s="709">
        <v>2</v>
      </c>
      <c r="O469" s="709">
        <v>6</v>
      </c>
      <c r="P469" s="708">
        <f t="shared" si="10"/>
        <v>10200</v>
      </c>
    </row>
    <row r="470" spans="1:16" ht="24" x14ac:dyDescent="0.2">
      <c r="A470" s="702">
        <v>1316</v>
      </c>
      <c r="B470" s="211" t="s">
        <v>1639</v>
      </c>
      <c r="C470" s="514" t="s">
        <v>1444</v>
      </c>
      <c r="D470" s="703" t="s">
        <v>1646</v>
      </c>
      <c r="E470" s="704">
        <v>2689</v>
      </c>
      <c r="F470" s="705" t="s">
        <v>2054</v>
      </c>
      <c r="G470" s="706" t="s">
        <v>2055</v>
      </c>
      <c r="H470" s="707" t="s">
        <v>887</v>
      </c>
      <c r="I470" s="211" t="s">
        <v>1644</v>
      </c>
      <c r="J470" s="211" t="s">
        <v>1645</v>
      </c>
      <c r="K470" s="514">
        <v>2</v>
      </c>
      <c r="L470" s="514">
        <v>6</v>
      </c>
      <c r="M470" s="708">
        <f t="shared" si="12"/>
        <v>16134</v>
      </c>
      <c r="N470" s="709">
        <v>2</v>
      </c>
      <c r="O470" s="709">
        <v>6</v>
      </c>
      <c r="P470" s="708">
        <f t="shared" si="10"/>
        <v>16134</v>
      </c>
    </row>
    <row r="471" spans="1:16" ht="24" x14ac:dyDescent="0.2">
      <c r="A471" s="702">
        <v>1316</v>
      </c>
      <c r="B471" s="211" t="s">
        <v>1639</v>
      </c>
      <c r="C471" s="514" t="s">
        <v>1444</v>
      </c>
      <c r="D471" s="703" t="s">
        <v>613</v>
      </c>
      <c r="E471" s="704">
        <v>2000</v>
      </c>
      <c r="F471" s="705" t="s">
        <v>2056</v>
      </c>
      <c r="G471" s="706" t="s">
        <v>2057</v>
      </c>
      <c r="H471" s="703" t="s">
        <v>613</v>
      </c>
      <c r="I471" s="211" t="s">
        <v>1654</v>
      </c>
      <c r="J471" s="211" t="s">
        <v>1655</v>
      </c>
      <c r="K471" s="514">
        <v>2</v>
      </c>
      <c r="L471" s="514">
        <v>6</v>
      </c>
      <c r="M471" s="708">
        <f t="shared" si="12"/>
        <v>12000</v>
      </c>
      <c r="N471" s="709">
        <v>2</v>
      </c>
      <c r="O471" s="709">
        <v>6</v>
      </c>
      <c r="P471" s="708">
        <f t="shared" si="10"/>
        <v>12000</v>
      </c>
    </row>
    <row r="472" spans="1:16" ht="24" x14ac:dyDescent="0.2">
      <c r="A472" s="702">
        <v>1316</v>
      </c>
      <c r="B472" s="211" t="s">
        <v>1639</v>
      </c>
      <c r="C472" s="514" t="s">
        <v>1444</v>
      </c>
      <c r="D472" s="707" t="s">
        <v>1673</v>
      </c>
      <c r="E472" s="704">
        <v>2000</v>
      </c>
      <c r="F472" s="705" t="s">
        <v>2058</v>
      </c>
      <c r="G472" s="706" t="s">
        <v>2059</v>
      </c>
      <c r="H472" s="707" t="s">
        <v>1676</v>
      </c>
      <c r="I472" s="211" t="s">
        <v>1644</v>
      </c>
      <c r="J472" s="211" t="s">
        <v>1645</v>
      </c>
      <c r="K472" s="514">
        <v>3</v>
      </c>
      <c r="L472" s="514">
        <v>12</v>
      </c>
      <c r="M472" s="708">
        <f t="shared" si="12"/>
        <v>24000</v>
      </c>
      <c r="N472" s="709">
        <v>2</v>
      </c>
      <c r="O472" s="709">
        <v>6</v>
      </c>
      <c r="P472" s="708">
        <f t="shared" si="10"/>
        <v>12000</v>
      </c>
    </row>
    <row r="473" spans="1:16" ht="24" x14ac:dyDescent="0.2">
      <c r="A473" s="702">
        <v>1316</v>
      </c>
      <c r="B473" s="211" t="s">
        <v>1639</v>
      </c>
      <c r="C473" s="514" t="s">
        <v>1444</v>
      </c>
      <c r="D473" s="707" t="s">
        <v>1673</v>
      </c>
      <c r="E473" s="704">
        <v>2000</v>
      </c>
      <c r="F473" s="705" t="s">
        <v>2060</v>
      </c>
      <c r="G473" s="706" t="s">
        <v>2061</v>
      </c>
      <c r="H473" s="707" t="s">
        <v>1676</v>
      </c>
      <c r="I473" s="211" t="s">
        <v>1644</v>
      </c>
      <c r="J473" s="211" t="s">
        <v>1645</v>
      </c>
      <c r="K473" s="514">
        <v>3</v>
      </c>
      <c r="L473" s="514">
        <v>12</v>
      </c>
      <c r="M473" s="708">
        <f t="shared" si="12"/>
        <v>24000</v>
      </c>
      <c r="N473" s="709">
        <v>2</v>
      </c>
      <c r="O473" s="709">
        <v>6</v>
      </c>
      <c r="P473" s="708">
        <f t="shared" si="10"/>
        <v>12000</v>
      </c>
    </row>
    <row r="474" spans="1:16" ht="12.75" x14ac:dyDescent="0.2">
      <c r="A474" s="702">
        <v>1316</v>
      </c>
      <c r="B474" s="211" t="s">
        <v>1639</v>
      </c>
      <c r="C474" s="514" t="s">
        <v>1444</v>
      </c>
      <c r="D474" s="703" t="s">
        <v>1703</v>
      </c>
      <c r="E474" s="704">
        <v>3500</v>
      </c>
      <c r="F474" s="705" t="s">
        <v>2062</v>
      </c>
      <c r="G474" s="706" t="s">
        <v>2063</v>
      </c>
      <c r="H474" s="703" t="s">
        <v>1703</v>
      </c>
      <c r="I474" s="211" t="s">
        <v>1644</v>
      </c>
      <c r="J474" s="211" t="s">
        <v>1645</v>
      </c>
      <c r="K474" s="514">
        <v>3</v>
      </c>
      <c r="L474" s="514">
        <v>12</v>
      </c>
      <c r="M474" s="708">
        <f t="shared" si="12"/>
        <v>42000</v>
      </c>
      <c r="N474" s="709">
        <v>2</v>
      </c>
      <c r="O474" s="709">
        <v>6</v>
      </c>
      <c r="P474" s="708">
        <f t="shared" si="10"/>
        <v>21000</v>
      </c>
    </row>
    <row r="475" spans="1:16" ht="24" x14ac:dyDescent="0.2">
      <c r="A475" s="702">
        <v>1316</v>
      </c>
      <c r="B475" s="211" t="s">
        <v>1639</v>
      </c>
      <c r="C475" s="514" t="s">
        <v>1444</v>
      </c>
      <c r="D475" s="703" t="s">
        <v>1646</v>
      </c>
      <c r="E475" s="704">
        <v>4500</v>
      </c>
      <c r="F475" s="705" t="s">
        <v>2064</v>
      </c>
      <c r="G475" s="706" t="s">
        <v>2065</v>
      </c>
      <c r="H475" s="707" t="s">
        <v>887</v>
      </c>
      <c r="I475" s="211" t="s">
        <v>1644</v>
      </c>
      <c r="J475" s="211" t="s">
        <v>1645</v>
      </c>
      <c r="K475" s="514">
        <v>3</v>
      </c>
      <c r="L475" s="514">
        <v>12</v>
      </c>
      <c r="M475" s="708">
        <f t="shared" si="12"/>
        <v>54000</v>
      </c>
      <c r="N475" s="709">
        <v>2</v>
      </c>
      <c r="O475" s="709">
        <v>6</v>
      </c>
      <c r="P475" s="708">
        <f t="shared" ref="P475:P484" si="13">O475*E475</f>
        <v>27000</v>
      </c>
    </row>
    <row r="476" spans="1:16" ht="24" x14ac:dyDescent="0.2">
      <c r="A476" s="702">
        <v>1316</v>
      </c>
      <c r="B476" s="211" t="s">
        <v>1639</v>
      </c>
      <c r="C476" s="514" t="s">
        <v>1444</v>
      </c>
      <c r="D476" s="703" t="s">
        <v>1646</v>
      </c>
      <c r="E476" s="704">
        <v>2689</v>
      </c>
      <c r="F476" s="705" t="s">
        <v>2066</v>
      </c>
      <c r="G476" s="706" t="s">
        <v>2067</v>
      </c>
      <c r="H476" s="707" t="s">
        <v>887</v>
      </c>
      <c r="I476" s="211" t="s">
        <v>1644</v>
      </c>
      <c r="J476" s="211" t="s">
        <v>1645</v>
      </c>
      <c r="K476" s="514">
        <v>3</v>
      </c>
      <c r="L476" s="514">
        <v>12</v>
      </c>
      <c r="M476" s="708">
        <f t="shared" si="12"/>
        <v>32268</v>
      </c>
      <c r="N476" s="709">
        <v>2</v>
      </c>
      <c r="O476" s="709">
        <v>6</v>
      </c>
      <c r="P476" s="708">
        <f t="shared" si="13"/>
        <v>16134</v>
      </c>
    </row>
    <row r="477" spans="1:16" ht="24" x14ac:dyDescent="0.2">
      <c r="A477" s="702">
        <v>1316</v>
      </c>
      <c r="B477" s="211" t="s">
        <v>1639</v>
      </c>
      <c r="C477" s="514" t="s">
        <v>1444</v>
      </c>
      <c r="D477" s="703" t="s">
        <v>1640</v>
      </c>
      <c r="E477" s="704">
        <v>2500</v>
      </c>
      <c r="F477" s="705" t="s">
        <v>2068</v>
      </c>
      <c r="G477" s="706" t="s">
        <v>2069</v>
      </c>
      <c r="H477" s="707" t="s">
        <v>1643</v>
      </c>
      <c r="I477" s="211" t="s">
        <v>1644</v>
      </c>
      <c r="J477" s="211" t="s">
        <v>1645</v>
      </c>
      <c r="K477" s="514">
        <v>2</v>
      </c>
      <c r="L477" s="514">
        <v>6</v>
      </c>
      <c r="M477" s="708">
        <f t="shared" si="12"/>
        <v>15000</v>
      </c>
      <c r="N477" s="709">
        <v>2</v>
      </c>
      <c r="O477" s="709">
        <v>6</v>
      </c>
      <c r="P477" s="708">
        <f t="shared" si="13"/>
        <v>15000</v>
      </c>
    </row>
    <row r="478" spans="1:16" ht="24" x14ac:dyDescent="0.2">
      <c r="A478" s="702">
        <v>1316</v>
      </c>
      <c r="B478" s="211" t="s">
        <v>1639</v>
      </c>
      <c r="C478" s="514" t="s">
        <v>1444</v>
      </c>
      <c r="D478" s="707" t="s">
        <v>1828</v>
      </c>
      <c r="E478" s="704">
        <v>2689</v>
      </c>
      <c r="F478" s="705" t="s">
        <v>2070</v>
      </c>
      <c r="G478" s="706" t="s">
        <v>2071</v>
      </c>
      <c r="H478" s="707" t="s">
        <v>1831</v>
      </c>
      <c r="I478" s="211" t="s">
        <v>1644</v>
      </c>
      <c r="J478" s="211" t="s">
        <v>1645</v>
      </c>
      <c r="K478" s="514">
        <v>1</v>
      </c>
      <c r="L478" s="514">
        <v>2</v>
      </c>
      <c r="M478" s="708">
        <f t="shared" si="12"/>
        <v>5378</v>
      </c>
      <c r="N478" s="709">
        <v>2</v>
      </c>
      <c r="O478" s="709">
        <v>6</v>
      </c>
      <c r="P478" s="708">
        <f t="shared" si="13"/>
        <v>16134</v>
      </c>
    </row>
    <row r="479" spans="1:16" ht="24" x14ac:dyDescent="0.2">
      <c r="A479" s="702">
        <v>1316</v>
      </c>
      <c r="B479" s="211" t="s">
        <v>1639</v>
      </c>
      <c r="C479" s="514" t="s">
        <v>1444</v>
      </c>
      <c r="D479" s="703" t="s">
        <v>1640</v>
      </c>
      <c r="E479" s="704">
        <v>2300</v>
      </c>
      <c r="F479" s="705" t="s">
        <v>2072</v>
      </c>
      <c r="G479" s="706" t="s">
        <v>2073</v>
      </c>
      <c r="H479" s="707" t="s">
        <v>1643</v>
      </c>
      <c r="I479" s="211" t="s">
        <v>1644</v>
      </c>
      <c r="J479" s="211" t="s">
        <v>1645</v>
      </c>
      <c r="K479" s="514">
        <v>3</v>
      </c>
      <c r="L479" s="514">
        <v>12</v>
      </c>
      <c r="M479" s="708">
        <f t="shared" si="12"/>
        <v>27600</v>
      </c>
      <c r="N479" s="709">
        <v>2</v>
      </c>
      <c r="O479" s="709">
        <v>6</v>
      </c>
      <c r="P479" s="708">
        <f t="shared" si="13"/>
        <v>13800</v>
      </c>
    </row>
    <row r="480" spans="1:16" ht="12.75" x14ac:dyDescent="0.2">
      <c r="A480" s="702">
        <v>1316</v>
      </c>
      <c r="B480" s="211" t="s">
        <v>1639</v>
      </c>
      <c r="C480" s="514" t="s">
        <v>1444</v>
      </c>
      <c r="D480" s="703" t="s">
        <v>1703</v>
      </c>
      <c r="E480" s="704">
        <v>3800</v>
      </c>
      <c r="F480" s="705" t="s">
        <v>2074</v>
      </c>
      <c r="G480" s="706" t="s">
        <v>2075</v>
      </c>
      <c r="H480" s="703" t="s">
        <v>1703</v>
      </c>
      <c r="I480" s="211" t="s">
        <v>1644</v>
      </c>
      <c r="J480" s="211" t="s">
        <v>1645</v>
      </c>
      <c r="K480" s="514">
        <v>3</v>
      </c>
      <c r="L480" s="514">
        <v>12</v>
      </c>
      <c r="M480" s="708">
        <f t="shared" si="12"/>
        <v>45600</v>
      </c>
      <c r="N480" s="709">
        <v>2</v>
      </c>
      <c r="O480" s="709">
        <v>6</v>
      </c>
      <c r="P480" s="708">
        <f t="shared" si="13"/>
        <v>22800</v>
      </c>
    </row>
    <row r="481" spans="1:16" ht="24" x14ac:dyDescent="0.2">
      <c r="A481" s="702">
        <v>1316</v>
      </c>
      <c r="B481" s="211" t="s">
        <v>1639</v>
      </c>
      <c r="C481" s="514" t="s">
        <v>1444</v>
      </c>
      <c r="D481" s="707" t="s">
        <v>2076</v>
      </c>
      <c r="E481" s="704">
        <v>2800</v>
      </c>
      <c r="F481" s="705" t="s">
        <v>2077</v>
      </c>
      <c r="G481" s="706" t="s">
        <v>2078</v>
      </c>
      <c r="H481" s="707" t="s">
        <v>2076</v>
      </c>
      <c r="I481" s="211" t="s">
        <v>1644</v>
      </c>
      <c r="J481" s="211" t="s">
        <v>1645</v>
      </c>
      <c r="K481" s="514">
        <v>3</v>
      </c>
      <c r="L481" s="514">
        <v>12</v>
      </c>
      <c r="M481" s="708">
        <f t="shared" si="12"/>
        <v>33600</v>
      </c>
      <c r="N481" s="709">
        <v>2</v>
      </c>
      <c r="O481" s="709">
        <v>6</v>
      </c>
      <c r="P481" s="708">
        <f t="shared" si="13"/>
        <v>16800</v>
      </c>
    </row>
    <row r="482" spans="1:16" ht="24" x14ac:dyDescent="0.2">
      <c r="A482" s="702">
        <v>1316</v>
      </c>
      <c r="B482" s="211" t="s">
        <v>1639</v>
      </c>
      <c r="C482" s="514" t="s">
        <v>1444</v>
      </c>
      <c r="D482" s="707" t="s">
        <v>1651</v>
      </c>
      <c r="E482" s="704">
        <v>1300</v>
      </c>
      <c r="F482" s="705" t="s">
        <v>2079</v>
      </c>
      <c r="G482" s="706" t="s">
        <v>2080</v>
      </c>
      <c r="H482" s="707" t="s">
        <v>1651</v>
      </c>
      <c r="I482" s="211" t="s">
        <v>1654</v>
      </c>
      <c r="J482" s="211" t="s">
        <v>1655</v>
      </c>
      <c r="K482" s="514">
        <v>3</v>
      </c>
      <c r="L482" s="514">
        <v>12</v>
      </c>
      <c r="M482" s="708">
        <f t="shared" si="12"/>
        <v>15600</v>
      </c>
      <c r="N482" s="709">
        <v>2</v>
      </c>
      <c r="O482" s="709">
        <v>6</v>
      </c>
      <c r="P482" s="708">
        <f t="shared" si="13"/>
        <v>7800</v>
      </c>
    </row>
    <row r="483" spans="1:16" ht="24" x14ac:dyDescent="0.2">
      <c r="A483" s="702">
        <v>1316</v>
      </c>
      <c r="B483" s="211" t="s">
        <v>1639</v>
      </c>
      <c r="C483" s="514" t="s">
        <v>1444</v>
      </c>
      <c r="D483" s="703" t="s">
        <v>2021</v>
      </c>
      <c r="E483" s="704">
        <v>2689</v>
      </c>
      <c r="F483" s="705" t="s">
        <v>2081</v>
      </c>
      <c r="G483" s="706" t="s">
        <v>2082</v>
      </c>
      <c r="H483" s="703" t="s">
        <v>1831</v>
      </c>
      <c r="I483" s="211" t="s">
        <v>1644</v>
      </c>
      <c r="J483" s="211" t="s">
        <v>1645</v>
      </c>
      <c r="K483" s="514">
        <v>2</v>
      </c>
      <c r="L483" s="514">
        <v>6</v>
      </c>
      <c r="M483" s="708">
        <f t="shared" si="12"/>
        <v>16134</v>
      </c>
      <c r="N483" s="709">
        <v>2</v>
      </c>
      <c r="O483" s="709">
        <v>6</v>
      </c>
      <c r="P483" s="708">
        <f t="shared" si="13"/>
        <v>16134</v>
      </c>
    </row>
    <row r="484" spans="1:16" ht="36" x14ac:dyDescent="0.2">
      <c r="A484" s="702">
        <v>1316</v>
      </c>
      <c r="B484" s="211" t="s">
        <v>1639</v>
      </c>
      <c r="C484" s="514" t="s">
        <v>1444</v>
      </c>
      <c r="D484" s="707" t="s">
        <v>1659</v>
      </c>
      <c r="E484" s="704">
        <v>1000</v>
      </c>
      <c r="F484" s="705" t="s">
        <v>2083</v>
      </c>
      <c r="G484" s="706" t="s">
        <v>2084</v>
      </c>
      <c r="H484" s="707" t="s">
        <v>1659</v>
      </c>
      <c r="I484" s="211" t="s">
        <v>1662</v>
      </c>
      <c r="J484" s="211" t="s">
        <v>1663</v>
      </c>
      <c r="K484" s="514">
        <v>3</v>
      </c>
      <c r="L484" s="514">
        <v>12</v>
      </c>
      <c r="M484" s="708">
        <f t="shared" si="12"/>
        <v>12000</v>
      </c>
      <c r="N484" s="709">
        <v>2</v>
      </c>
      <c r="O484" s="709">
        <v>6</v>
      </c>
      <c r="P484" s="708">
        <f t="shared" si="13"/>
        <v>6000</v>
      </c>
    </row>
    <row r="487" spans="1:16" x14ac:dyDescent="0.2">
      <c r="A487" s="15" t="s">
        <v>436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x14ac:dyDescent="0.2">
      <c r="A488" s="173" t="s">
        <v>460</v>
      </c>
      <c r="B488" s="490"/>
      <c r="C488" s="490"/>
      <c r="D488" s="490"/>
      <c r="E488" s="490"/>
      <c r="F488" s="490"/>
      <c r="G488" s="490"/>
      <c r="H488" s="490"/>
      <c r="I488" s="490"/>
      <c r="J488" s="490"/>
      <c r="K488" s="490"/>
      <c r="L488" s="490"/>
      <c r="M488" s="490"/>
      <c r="N488" s="490"/>
      <c r="O488" s="490"/>
      <c r="P488" s="490"/>
    </row>
    <row r="489" spans="1:16" ht="12.75" thickBot="1" x14ac:dyDescent="0.25">
      <c r="A489" s="15" t="s">
        <v>2087</v>
      </c>
      <c r="B489" s="162"/>
      <c r="C489" s="162"/>
      <c r="D489" s="162"/>
      <c r="E489" s="162"/>
      <c r="F489" s="162"/>
      <c r="G489" s="162"/>
      <c r="H489" s="162"/>
      <c r="I489" s="162"/>
      <c r="J489" s="162"/>
      <c r="M489" s="162"/>
      <c r="N489" s="162"/>
      <c r="O489" s="162"/>
      <c r="P489" s="162"/>
    </row>
    <row r="490" spans="1:16" ht="12.75" thickBot="1" x14ac:dyDescent="0.25">
      <c r="A490" s="1534" t="s">
        <v>147</v>
      </c>
      <c r="B490" s="1535"/>
      <c r="C490" s="1535"/>
      <c r="D490" s="1535"/>
      <c r="E490" s="1536"/>
      <c r="F490" s="1537" t="s">
        <v>148</v>
      </c>
      <c r="G490" s="1538"/>
      <c r="H490" s="1539"/>
      <c r="I490" s="1539"/>
      <c r="J490" s="1540"/>
      <c r="K490" s="1531" t="s">
        <v>1637</v>
      </c>
      <c r="L490" s="1532"/>
      <c r="M490" s="1533"/>
      <c r="N490" s="1531" t="s">
        <v>1638</v>
      </c>
      <c r="O490" s="1532"/>
      <c r="P490" s="1533"/>
    </row>
    <row r="491" spans="1:16" ht="99" thickBot="1" x14ac:dyDescent="0.25">
      <c r="A491" s="511" t="s">
        <v>105</v>
      </c>
      <c r="B491" s="267" t="s">
        <v>8</v>
      </c>
      <c r="C491" s="267" t="s">
        <v>102</v>
      </c>
      <c r="D491" s="512" t="s">
        <v>106</v>
      </c>
      <c r="E491" s="513" t="s">
        <v>128</v>
      </c>
      <c r="F491" s="511" t="s">
        <v>135</v>
      </c>
      <c r="G491" s="512" t="s">
        <v>136</v>
      </c>
      <c r="H491" s="512" t="s">
        <v>150</v>
      </c>
      <c r="I491" s="267" t="s">
        <v>151</v>
      </c>
      <c r="J491" s="510" t="s">
        <v>140</v>
      </c>
      <c r="K491" s="271" t="s">
        <v>137</v>
      </c>
      <c r="L491" s="272" t="s">
        <v>138</v>
      </c>
      <c r="M491" s="273" t="s">
        <v>139</v>
      </c>
      <c r="N491" s="271" t="s">
        <v>137</v>
      </c>
      <c r="O491" s="272" t="s">
        <v>138</v>
      </c>
      <c r="P491" s="273" t="s">
        <v>139</v>
      </c>
    </row>
    <row r="492" spans="1:16" ht="25.5" x14ac:dyDescent="0.2">
      <c r="A492" s="821" t="s">
        <v>2205</v>
      </c>
      <c r="B492" s="822" t="s">
        <v>1639</v>
      </c>
      <c r="C492" s="822" t="s">
        <v>1444</v>
      </c>
      <c r="D492" s="823" t="s">
        <v>542</v>
      </c>
      <c r="E492" s="824">
        <v>2300</v>
      </c>
      <c r="F492" s="822">
        <v>25836677</v>
      </c>
      <c r="G492" s="825" t="s">
        <v>2206</v>
      </c>
      <c r="H492" s="823" t="s">
        <v>2207</v>
      </c>
      <c r="I492" s="825" t="s">
        <v>2208</v>
      </c>
      <c r="J492" s="823" t="s">
        <v>2207</v>
      </c>
      <c r="K492" s="822" t="s">
        <v>2209</v>
      </c>
      <c r="L492" s="826">
        <v>1</v>
      </c>
      <c r="M492" s="824">
        <f t="shared" ref="M492:M504" si="14">E492*L492</f>
        <v>2300</v>
      </c>
      <c r="N492" s="822" t="s">
        <v>2210</v>
      </c>
      <c r="O492" s="826">
        <v>12</v>
      </c>
      <c r="P492" s="824">
        <f t="shared" ref="P492:P504" si="15">E492*O492</f>
        <v>27600</v>
      </c>
    </row>
    <row r="493" spans="1:16" ht="51" x14ac:dyDescent="0.2">
      <c r="A493" s="821" t="s">
        <v>2205</v>
      </c>
      <c r="B493" s="822" t="s">
        <v>1639</v>
      </c>
      <c r="C493" s="822" t="s">
        <v>1444</v>
      </c>
      <c r="D493" s="823" t="s">
        <v>904</v>
      </c>
      <c r="E493" s="824">
        <v>1400</v>
      </c>
      <c r="F493" s="822" t="s">
        <v>2211</v>
      </c>
      <c r="G493" s="821" t="s">
        <v>2212</v>
      </c>
      <c r="H493" s="823" t="s">
        <v>2213</v>
      </c>
      <c r="I493" s="821" t="s">
        <v>2214</v>
      </c>
      <c r="J493" s="823" t="s">
        <v>2213</v>
      </c>
      <c r="K493" s="822" t="s">
        <v>2215</v>
      </c>
      <c r="L493" s="826">
        <v>1</v>
      </c>
      <c r="M493" s="824">
        <f t="shared" si="14"/>
        <v>1400</v>
      </c>
      <c r="N493" s="822" t="s">
        <v>2215</v>
      </c>
      <c r="O493" s="826">
        <v>12</v>
      </c>
      <c r="P493" s="824">
        <f t="shared" si="15"/>
        <v>16800</v>
      </c>
    </row>
    <row r="494" spans="1:16" ht="25.5" x14ac:dyDescent="0.2">
      <c r="A494" s="821" t="s">
        <v>2205</v>
      </c>
      <c r="B494" s="822" t="s">
        <v>1639</v>
      </c>
      <c r="C494" s="822" t="s">
        <v>1444</v>
      </c>
      <c r="D494" s="823" t="s">
        <v>542</v>
      </c>
      <c r="E494" s="824">
        <v>2300</v>
      </c>
      <c r="F494" s="827" t="s">
        <v>2216</v>
      </c>
      <c r="G494" s="821" t="s">
        <v>2217</v>
      </c>
      <c r="H494" s="823" t="s">
        <v>2218</v>
      </c>
      <c r="I494" s="821" t="s">
        <v>2214</v>
      </c>
      <c r="J494" s="823" t="s">
        <v>2219</v>
      </c>
      <c r="K494" s="822" t="s">
        <v>2220</v>
      </c>
      <c r="L494" s="826">
        <v>1</v>
      </c>
      <c r="M494" s="824">
        <f t="shared" si="14"/>
        <v>2300</v>
      </c>
      <c r="N494" s="822" t="s">
        <v>2220</v>
      </c>
      <c r="O494" s="826">
        <v>12</v>
      </c>
      <c r="P494" s="824">
        <f t="shared" si="15"/>
        <v>27600</v>
      </c>
    </row>
    <row r="495" spans="1:16" ht="38.25" x14ac:dyDescent="0.2">
      <c r="A495" s="821" t="s">
        <v>2205</v>
      </c>
      <c r="B495" s="822" t="s">
        <v>1639</v>
      </c>
      <c r="C495" s="822" t="s">
        <v>1444</v>
      </c>
      <c r="D495" s="823" t="s">
        <v>904</v>
      </c>
      <c r="E495" s="824">
        <v>1400</v>
      </c>
      <c r="F495" s="822" t="s">
        <v>2221</v>
      </c>
      <c r="G495" s="821" t="s">
        <v>2222</v>
      </c>
      <c r="H495" s="823" t="s">
        <v>2223</v>
      </c>
      <c r="I495" s="821" t="s">
        <v>2214</v>
      </c>
      <c r="J495" s="823" t="s">
        <v>2223</v>
      </c>
      <c r="K495" s="822" t="s">
        <v>2224</v>
      </c>
      <c r="L495" s="826">
        <v>1</v>
      </c>
      <c r="M495" s="824">
        <f t="shared" si="14"/>
        <v>1400</v>
      </c>
      <c r="N495" s="822" t="s">
        <v>2224</v>
      </c>
      <c r="O495" s="826">
        <v>12</v>
      </c>
      <c r="P495" s="824">
        <f t="shared" si="15"/>
        <v>16800</v>
      </c>
    </row>
    <row r="496" spans="1:16" ht="25.5" x14ac:dyDescent="0.2">
      <c r="A496" s="821" t="s">
        <v>2205</v>
      </c>
      <c r="B496" s="822" t="s">
        <v>1639</v>
      </c>
      <c r="C496" s="822" t="s">
        <v>1444</v>
      </c>
      <c r="D496" s="823" t="s">
        <v>2225</v>
      </c>
      <c r="E496" s="824">
        <v>12500</v>
      </c>
      <c r="F496" s="822" t="s">
        <v>2226</v>
      </c>
      <c r="G496" s="821" t="s">
        <v>2227</v>
      </c>
      <c r="H496" s="823" t="s">
        <v>2228</v>
      </c>
      <c r="I496" s="825" t="s">
        <v>2208</v>
      </c>
      <c r="J496" s="823" t="s">
        <v>2228</v>
      </c>
      <c r="K496" s="822" t="s">
        <v>2209</v>
      </c>
      <c r="L496" s="826">
        <v>1</v>
      </c>
      <c r="M496" s="824">
        <f t="shared" si="14"/>
        <v>12500</v>
      </c>
      <c r="N496" s="822" t="s">
        <v>2209</v>
      </c>
      <c r="O496" s="826">
        <v>12</v>
      </c>
      <c r="P496" s="824">
        <f t="shared" si="15"/>
        <v>150000</v>
      </c>
    </row>
    <row r="497" spans="1:16" ht="38.25" x14ac:dyDescent="0.2">
      <c r="A497" s="821" t="s">
        <v>2205</v>
      </c>
      <c r="B497" s="822" t="s">
        <v>1639</v>
      </c>
      <c r="C497" s="822" t="s">
        <v>1444</v>
      </c>
      <c r="D497" s="828" t="s">
        <v>2229</v>
      </c>
      <c r="E497" s="824">
        <v>6000</v>
      </c>
      <c r="F497" s="822" t="s">
        <v>2230</v>
      </c>
      <c r="G497" s="829" t="s">
        <v>2231</v>
      </c>
      <c r="H497" s="823" t="s">
        <v>2228</v>
      </c>
      <c r="I497" s="567" t="s">
        <v>2208</v>
      </c>
      <c r="J497" s="823" t="s">
        <v>2228</v>
      </c>
      <c r="K497" s="822" t="s">
        <v>2232</v>
      </c>
      <c r="L497" s="826">
        <v>1</v>
      </c>
      <c r="M497" s="824">
        <f t="shared" si="14"/>
        <v>6000</v>
      </c>
      <c r="N497" s="822" t="s">
        <v>2232</v>
      </c>
      <c r="O497" s="826">
        <v>3</v>
      </c>
      <c r="P497" s="824">
        <f t="shared" si="15"/>
        <v>18000</v>
      </c>
    </row>
    <row r="498" spans="1:16" ht="51" x14ac:dyDescent="0.2">
      <c r="A498" s="821" t="s">
        <v>2205</v>
      </c>
      <c r="B498" s="822" t="s">
        <v>1639</v>
      </c>
      <c r="C498" s="822" t="s">
        <v>1444</v>
      </c>
      <c r="D498" s="828" t="s">
        <v>2233</v>
      </c>
      <c r="E498" s="824">
        <v>6000</v>
      </c>
      <c r="F498" s="822" t="s">
        <v>2234</v>
      </c>
      <c r="G498" s="829" t="s">
        <v>2235</v>
      </c>
      <c r="H498" s="823" t="s">
        <v>2228</v>
      </c>
      <c r="I498" s="825" t="s">
        <v>2208</v>
      </c>
      <c r="J498" s="823" t="s">
        <v>2228</v>
      </c>
      <c r="K498" s="822" t="s">
        <v>2236</v>
      </c>
      <c r="L498" s="826">
        <v>1</v>
      </c>
      <c r="M498" s="824">
        <f t="shared" si="14"/>
        <v>6000</v>
      </c>
      <c r="N498" s="822" t="s">
        <v>2236</v>
      </c>
      <c r="O498" s="826">
        <v>3</v>
      </c>
      <c r="P498" s="824">
        <f t="shared" si="15"/>
        <v>18000</v>
      </c>
    </row>
    <row r="499" spans="1:16" ht="25.5" x14ac:dyDescent="0.2">
      <c r="A499" s="821" t="s">
        <v>2205</v>
      </c>
      <c r="B499" s="822" t="s">
        <v>1639</v>
      </c>
      <c r="C499" s="822" t="s">
        <v>1444</v>
      </c>
      <c r="D499" s="830" t="s">
        <v>2237</v>
      </c>
      <c r="E499" s="824">
        <v>6000</v>
      </c>
      <c r="F499" s="822" t="s">
        <v>2238</v>
      </c>
      <c r="G499" s="821" t="s">
        <v>2239</v>
      </c>
      <c r="H499" s="823" t="s">
        <v>2228</v>
      </c>
      <c r="I499" s="825" t="s">
        <v>2208</v>
      </c>
      <c r="J499" s="823" t="s">
        <v>2228</v>
      </c>
      <c r="K499" s="822" t="s">
        <v>2240</v>
      </c>
      <c r="L499" s="826">
        <v>0</v>
      </c>
      <c r="M499" s="824">
        <f t="shared" si="14"/>
        <v>0</v>
      </c>
      <c r="N499" s="822" t="s">
        <v>2240</v>
      </c>
      <c r="O499" s="831">
        <v>8</v>
      </c>
      <c r="P499" s="824">
        <f t="shared" si="15"/>
        <v>48000</v>
      </c>
    </row>
    <row r="500" spans="1:16" ht="25.5" x14ac:dyDescent="0.2">
      <c r="A500" s="821" t="s">
        <v>2205</v>
      </c>
      <c r="B500" s="822" t="s">
        <v>1639</v>
      </c>
      <c r="C500" s="822" t="s">
        <v>1444</v>
      </c>
      <c r="D500" s="830" t="s">
        <v>2237</v>
      </c>
      <c r="E500" s="824">
        <v>6000</v>
      </c>
      <c r="F500" s="822" t="s">
        <v>2241</v>
      </c>
      <c r="G500" s="821" t="s">
        <v>2242</v>
      </c>
      <c r="H500" s="823" t="s">
        <v>2228</v>
      </c>
      <c r="I500" s="825" t="s">
        <v>2208</v>
      </c>
      <c r="J500" s="823" t="s">
        <v>2228</v>
      </c>
      <c r="K500" s="822" t="s">
        <v>2243</v>
      </c>
      <c r="L500" s="826">
        <v>0</v>
      </c>
      <c r="M500" s="824">
        <f t="shared" si="14"/>
        <v>0</v>
      </c>
      <c r="N500" s="822" t="s">
        <v>2243</v>
      </c>
      <c r="O500" s="831">
        <v>7</v>
      </c>
      <c r="P500" s="824">
        <f t="shared" si="15"/>
        <v>42000</v>
      </c>
    </row>
    <row r="501" spans="1:16" ht="25.5" x14ac:dyDescent="0.2">
      <c r="A501" s="821" t="s">
        <v>2205</v>
      </c>
      <c r="B501" s="822" t="s">
        <v>1639</v>
      </c>
      <c r="C501" s="822" t="s">
        <v>1444</v>
      </c>
      <c r="D501" s="830" t="s">
        <v>2244</v>
      </c>
      <c r="E501" s="824">
        <v>6000</v>
      </c>
      <c r="F501" s="822" t="s">
        <v>2245</v>
      </c>
      <c r="G501" s="821" t="s">
        <v>2246</v>
      </c>
      <c r="H501" s="823" t="s">
        <v>2228</v>
      </c>
      <c r="I501" s="825" t="s">
        <v>2208</v>
      </c>
      <c r="J501" s="823" t="s">
        <v>2228</v>
      </c>
      <c r="K501" s="822" t="s">
        <v>2247</v>
      </c>
      <c r="L501" s="826">
        <v>0</v>
      </c>
      <c r="M501" s="824">
        <f t="shared" si="14"/>
        <v>0</v>
      </c>
      <c r="N501" s="822" t="s">
        <v>2247</v>
      </c>
      <c r="O501" s="831">
        <v>8</v>
      </c>
      <c r="P501" s="824">
        <f t="shared" si="15"/>
        <v>48000</v>
      </c>
    </row>
    <row r="502" spans="1:16" ht="25.5" x14ac:dyDescent="0.2">
      <c r="A502" s="821" t="s">
        <v>2205</v>
      </c>
      <c r="B502" s="822" t="s">
        <v>1639</v>
      </c>
      <c r="C502" s="822" t="s">
        <v>1444</v>
      </c>
      <c r="D502" s="830" t="s">
        <v>2248</v>
      </c>
      <c r="E502" s="824">
        <v>6000</v>
      </c>
      <c r="F502" s="827" t="s">
        <v>2249</v>
      </c>
      <c r="G502" s="821" t="s">
        <v>2250</v>
      </c>
      <c r="H502" s="823" t="s">
        <v>2228</v>
      </c>
      <c r="I502" s="825" t="s">
        <v>2208</v>
      </c>
      <c r="J502" s="823" t="s">
        <v>2228</v>
      </c>
      <c r="K502" s="822" t="s">
        <v>2251</v>
      </c>
      <c r="L502" s="826">
        <v>0</v>
      </c>
      <c r="M502" s="824">
        <f t="shared" si="14"/>
        <v>0</v>
      </c>
      <c r="N502" s="822" t="s">
        <v>2251</v>
      </c>
      <c r="O502" s="831">
        <v>8</v>
      </c>
      <c r="P502" s="824">
        <f t="shared" si="15"/>
        <v>48000</v>
      </c>
    </row>
    <row r="503" spans="1:16" ht="12.75" x14ac:dyDescent="0.2">
      <c r="A503" s="821" t="s">
        <v>2205</v>
      </c>
      <c r="B503" s="822" t="s">
        <v>1639</v>
      </c>
      <c r="C503" s="822" t="s">
        <v>1444</v>
      </c>
      <c r="D503" s="832" t="s">
        <v>2252</v>
      </c>
      <c r="E503" s="824">
        <v>10000</v>
      </c>
      <c r="F503" s="822" t="s">
        <v>2253</v>
      </c>
      <c r="G503" s="821" t="s">
        <v>2254</v>
      </c>
      <c r="H503" s="823" t="s">
        <v>2228</v>
      </c>
      <c r="I503" s="825" t="s">
        <v>2208</v>
      </c>
      <c r="J503" s="823" t="s">
        <v>2228</v>
      </c>
      <c r="K503" s="822" t="s">
        <v>2255</v>
      </c>
      <c r="L503" s="826">
        <v>0</v>
      </c>
      <c r="M503" s="824">
        <f t="shared" si="14"/>
        <v>0</v>
      </c>
      <c r="N503" s="822" t="s">
        <v>2255</v>
      </c>
      <c r="O503" s="831">
        <f>12-3</f>
        <v>9</v>
      </c>
      <c r="P503" s="824">
        <f t="shared" si="15"/>
        <v>90000</v>
      </c>
    </row>
    <row r="504" spans="1:16" ht="26.25" thickBot="1" x14ac:dyDescent="0.25">
      <c r="A504" s="821" t="s">
        <v>2205</v>
      </c>
      <c r="B504" s="822" t="s">
        <v>1639</v>
      </c>
      <c r="C504" s="822" t="s">
        <v>1444</v>
      </c>
      <c r="D504" s="830" t="s">
        <v>2256</v>
      </c>
      <c r="E504" s="824">
        <v>6000</v>
      </c>
      <c r="F504" s="827" t="s">
        <v>2257</v>
      </c>
      <c r="G504" s="821" t="s">
        <v>2258</v>
      </c>
      <c r="H504" s="823" t="s">
        <v>2228</v>
      </c>
      <c r="I504" s="825" t="s">
        <v>2208</v>
      </c>
      <c r="J504" s="823" t="s">
        <v>2228</v>
      </c>
      <c r="K504" s="822" t="s">
        <v>2259</v>
      </c>
      <c r="L504" s="826">
        <v>0</v>
      </c>
      <c r="M504" s="824">
        <f t="shared" si="14"/>
        <v>0</v>
      </c>
      <c r="N504" s="822" t="s">
        <v>2259</v>
      </c>
      <c r="O504" s="831">
        <f>12-3</f>
        <v>9</v>
      </c>
      <c r="P504" s="824">
        <f t="shared" si="15"/>
        <v>54000</v>
      </c>
    </row>
    <row r="505" spans="1:16" ht="12.75" thickBot="1" x14ac:dyDescent="0.25">
      <c r="A505" s="93"/>
      <c r="B505" s="95"/>
      <c r="C505" s="95"/>
      <c r="D505" s="67"/>
      <c r="E505" s="19"/>
      <c r="F505" s="95"/>
      <c r="G505" s="67"/>
      <c r="H505" s="67"/>
      <c r="I505" s="69"/>
      <c r="J505" s="833"/>
      <c r="K505" s="134"/>
      <c r="L505" s="834"/>
      <c r="M505" s="19"/>
      <c r="N505" s="134"/>
      <c r="O505" s="834"/>
      <c r="P505" s="835"/>
    </row>
    <row r="506" spans="1:16" x14ac:dyDescent="0.2">
      <c r="A506" s="162" t="s">
        <v>412</v>
      </c>
      <c r="B506" s="162"/>
      <c r="C506" s="162"/>
      <c r="D506" s="162"/>
      <c r="E506" s="162"/>
      <c r="F506" s="162"/>
      <c r="G506" s="162"/>
      <c r="H506" s="162"/>
      <c r="I506" s="162"/>
      <c r="J506" s="162"/>
      <c r="M506" s="162"/>
      <c r="N506" s="162"/>
      <c r="O506" s="162"/>
      <c r="P506" s="162"/>
    </row>
    <row r="509" spans="1:16" x14ac:dyDescent="0.2">
      <c r="A509" s="679" t="s">
        <v>2332</v>
      </c>
      <c r="B509" s="679"/>
      <c r="C509" s="1062"/>
      <c r="D509" s="679"/>
      <c r="E509" s="679"/>
      <c r="F509" s="1062"/>
      <c r="G509" s="679"/>
      <c r="H509" s="679"/>
      <c r="I509" s="679"/>
      <c r="J509" s="679"/>
      <c r="K509" s="1063"/>
      <c r="L509" s="679"/>
      <c r="M509" s="679"/>
      <c r="N509" s="679"/>
      <c r="O509" s="679"/>
      <c r="P509" s="679"/>
    </row>
    <row r="510" spans="1:16" x14ac:dyDescent="0.2">
      <c r="A510" s="490" t="s">
        <v>460</v>
      </c>
      <c r="B510" s="490"/>
      <c r="C510" s="563"/>
      <c r="D510" s="490"/>
      <c r="E510" s="490"/>
      <c r="F510" s="563"/>
      <c r="G510" s="490"/>
      <c r="H510" s="490"/>
      <c r="I510" s="490"/>
      <c r="J510" s="490"/>
      <c r="K510" s="563"/>
      <c r="L510" s="490"/>
      <c r="M510" s="490"/>
      <c r="N510" s="490"/>
      <c r="O510" s="490"/>
      <c r="P510" s="490"/>
    </row>
    <row r="511" spans="1:16" ht="12.75" thickBot="1" x14ac:dyDescent="0.25">
      <c r="A511" s="679" t="s">
        <v>2274</v>
      </c>
      <c r="B511" s="359"/>
      <c r="C511" s="1047"/>
      <c r="D511" s="359"/>
      <c r="E511" s="359"/>
      <c r="F511" s="1047"/>
      <c r="G511" s="359"/>
      <c r="H511" s="359"/>
      <c r="I511" s="359"/>
      <c r="J511" s="359"/>
      <c r="K511" s="683"/>
      <c r="L511" s="1064"/>
      <c r="M511" s="359"/>
      <c r="N511" s="359"/>
      <c r="O511" s="359"/>
      <c r="P511" s="359"/>
    </row>
    <row r="512" spans="1:16" ht="12.75" thickBot="1" x14ac:dyDescent="0.25">
      <c r="A512" s="1541" t="s">
        <v>147</v>
      </c>
      <c r="B512" s="1542"/>
      <c r="C512" s="1542"/>
      <c r="D512" s="1542"/>
      <c r="E512" s="1543"/>
      <c r="F512" s="1544" t="s">
        <v>148</v>
      </c>
      <c r="G512" s="1545"/>
      <c r="H512" s="1546"/>
      <c r="I512" s="1546"/>
      <c r="J512" s="1547"/>
      <c r="K512" s="1548" t="s">
        <v>1637</v>
      </c>
      <c r="L512" s="1549"/>
      <c r="M512" s="1550"/>
      <c r="N512" s="1548" t="s">
        <v>1638</v>
      </c>
      <c r="O512" s="1549"/>
      <c r="P512" s="1550"/>
    </row>
    <row r="513" spans="1:16" ht="99" thickBot="1" x14ac:dyDescent="0.25">
      <c r="A513" s="1065" t="s">
        <v>105</v>
      </c>
      <c r="B513" s="1066" t="s">
        <v>8</v>
      </c>
      <c r="C513" s="1066" t="s">
        <v>102</v>
      </c>
      <c r="D513" s="1066" t="s">
        <v>106</v>
      </c>
      <c r="E513" s="1067" t="s">
        <v>128</v>
      </c>
      <c r="F513" s="1068" t="s">
        <v>135</v>
      </c>
      <c r="G513" s="1069" t="s">
        <v>136</v>
      </c>
      <c r="H513" s="1069" t="s">
        <v>150</v>
      </c>
      <c r="I513" s="1068" t="s">
        <v>151</v>
      </c>
      <c r="J513" s="1070" t="s">
        <v>140</v>
      </c>
      <c r="K513" s="1071" t="s">
        <v>137</v>
      </c>
      <c r="L513" s="1072" t="s">
        <v>138</v>
      </c>
      <c r="M513" s="1073" t="s">
        <v>139</v>
      </c>
      <c r="N513" s="1074" t="s">
        <v>137</v>
      </c>
      <c r="O513" s="1075" t="s">
        <v>138</v>
      </c>
      <c r="P513" s="1076" t="s">
        <v>139</v>
      </c>
    </row>
    <row r="514" spans="1:16" ht="15" x14ac:dyDescent="0.2">
      <c r="A514" s="1077" t="s">
        <v>2333</v>
      </c>
      <c r="B514" s="1078" t="s">
        <v>2334</v>
      </c>
      <c r="C514" s="1079" t="s">
        <v>1444</v>
      </c>
      <c r="D514" s="1080" t="s">
        <v>2335</v>
      </c>
      <c r="E514" s="1081">
        <v>2300</v>
      </c>
      <c r="F514" s="1082">
        <v>40744852</v>
      </c>
      <c r="G514" s="1083" t="s">
        <v>2336</v>
      </c>
      <c r="H514" s="1083" t="s">
        <v>2337</v>
      </c>
      <c r="I514" s="1084" t="s">
        <v>2338</v>
      </c>
      <c r="J514" s="1085" t="s">
        <v>2337</v>
      </c>
      <c r="K514" s="1086">
        <v>0</v>
      </c>
      <c r="L514" s="1087">
        <v>12</v>
      </c>
      <c r="M514" s="1088">
        <f t="shared" ref="M514:M577" si="16">L514*E514</f>
        <v>27600</v>
      </c>
      <c r="N514" s="1077">
        <v>0</v>
      </c>
      <c r="O514" s="1078">
        <v>6</v>
      </c>
      <c r="P514" s="1089">
        <f t="shared" ref="P514:P577" si="17">O514*E514</f>
        <v>13800</v>
      </c>
    </row>
    <row r="515" spans="1:16" ht="15" x14ac:dyDescent="0.2">
      <c r="A515" s="1077" t="s">
        <v>2333</v>
      </c>
      <c r="B515" s="1078" t="s">
        <v>2334</v>
      </c>
      <c r="C515" s="1079" t="s">
        <v>1444</v>
      </c>
      <c r="D515" s="1080" t="s">
        <v>2339</v>
      </c>
      <c r="E515" s="1081">
        <v>1100</v>
      </c>
      <c r="F515" s="1082">
        <v>80499068</v>
      </c>
      <c r="G515" s="1083" t="s">
        <v>2340</v>
      </c>
      <c r="H515" s="1083" t="s">
        <v>904</v>
      </c>
      <c r="I515" s="1084" t="s">
        <v>2338</v>
      </c>
      <c r="J515" s="1085" t="s">
        <v>904</v>
      </c>
      <c r="K515" s="1086">
        <v>0</v>
      </c>
      <c r="L515" s="1087">
        <v>12</v>
      </c>
      <c r="M515" s="1088">
        <f t="shared" si="16"/>
        <v>13200</v>
      </c>
      <c r="N515" s="1077">
        <v>0</v>
      </c>
      <c r="O515" s="1078">
        <v>6</v>
      </c>
      <c r="P515" s="1089">
        <f t="shared" si="17"/>
        <v>6600</v>
      </c>
    </row>
    <row r="516" spans="1:16" ht="15" x14ac:dyDescent="0.2">
      <c r="A516" s="1077" t="s">
        <v>2333</v>
      </c>
      <c r="B516" s="1078" t="s">
        <v>2334</v>
      </c>
      <c r="C516" s="1079" t="s">
        <v>1444</v>
      </c>
      <c r="D516" s="1080" t="s">
        <v>2341</v>
      </c>
      <c r="E516" s="1081">
        <v>5500</v>
      </c>
      <c r="F516" s="1082">
        <v>41475357</v>
      </c>
      <c r="G516" s="1083" t="s">
        <v>2342</v>
      </c>
      <c r="H516" s="1083" t="s">
        <v>2343</v>
      </c>
      <c r="I516" s="1084" t="s">
        <v>2338</v>
      </c>
      <c r="J516" s="1085" t="s">
        <v>2343</v>
      </c>
      <c r="K516" s="1086">
        <v>0</v>
      </c>
      <c r="L516" s="1087">
        <v>12</v>
      </c>
      <c r="M516" s="1088">
        <f t="shared" si="16"/>
        <v>66000</v>
      </c>
      <c r="N516" s="1077">
        <v>0</v>
      </c>
      <c r="O516" s="1078">
        <v>6</v>
      </c>
      <c r="P516" s="1089">
        <f t="shared" si="17"/>
        <v>33000</v>
      </c>
    </row>
    <row r="517" spans="1:16" ht="15" x14ac:dyDescent="0.2">
      <c r="A517" s="1077" t="s">
        <v>2333</v>
      </c>
      <c r="B517" s="1078" t="s">
        <v>2334</v>
      </c>
      <c r="C517" s="1079" t="s">
        <v>1444</v>
      </c>
      <c r="D517" s="1080" t="s">
        <v>2344</v>
      </c>
      <c r="E517" s="1081">
        <v>2800</v>
      </c>
      <c r="F517" s="1082">
        <v>20094709</v>
      </c>
      <c r="G517" s="1083" t="s">
        <v>2345</v>
      </c>
      <c r="H517" s="1083" t="s">
        <v>1758</v>
      </c>
      <c r="I517" s="1084" t="s">
        <v>2338</v>
      </c>
      <c r="J517" s="1085" t="s">
        <v>1758</v>
      </c>
      <c r="K517" s="1086">
        <v>0</v>
      </c>
      <c r="L517" s="1087">
        <v>12</v>
      </c>
      <c r="M517" s="1088">
        <f t="shared" si="16"/>
        <v>33600</v>
      </c>
      <c r="N517" s="1077">
        <v>0</v>
      </c>
      <c r="O517" s="1078">
        <v>6</v>
      </c>
      <c r="P517" s="1089">
        <f t="shared" si="17"/>
        <v>16800</v>
      </c>
    </row>
    <row r="518" spans="1:16" ht="15" x14ac:dyDescent="0.2">
      <c r="A518" s="1077" t="s">
        <v>2333</v>
      </c>
      <c r="B518" s="1078" t="s">
        <v>2334</v>
      </c>
      <c r="C518" s="1079" t="s">
        <v>1444</v>
      </c>
      <c r="D518" s="1090" t="s">
        <v>2346</v>
      </c>
      <c r="E518" s="1081">
        <v>2800</v>
      </c>
      <c r="F518" s="1091">
        <v>45436627</v>
      </c>
      <c r="G518" s="1083" t="s">
        <v>2347</v>
      </c>
      <c r="H518" s="1092" t="s">
        <v>650</v>
      </c>
      <c r="I518" s="1084" t="s">
        <v>2338</v>
      </c>
      <c r="J518" s="1093" t="s">
        <v>650</v>
      </c>
      <c r="K518" s="1086">
        <v>0</v>
      </c>
      <c r="L518" s="1087">
        <v>12</v>
      </c>
      <c r="M518" s="1088">
        <f t="shared" si="16"/>
        <v>33600</v>
      </c>
      <c r="N518" s="1077">
        <v>0</v>
      </c>
      <c r="O518" s="1078">
        <v>6</v>
      </c>
      <c r="P518" s="1089">
        <f t="shared" si="17"/>
        <v>16800</v>
      </c>
    </row>
    <row r="519" spans="1:16" ht="15" x14ac:dyDescent="0.2">
      <c r="A519" s="1077" t="s">
        <v>2333</v>
      </c>
      <c r="B519" s="1078" t="s">
        <v>2334</v>
      </c>
      <c r="C519" s="1079" t="s">
        <v>1444</v>
      </c>
      <c r="D519" s="1080" t="s">
        <v>2348</v>
      </c>
      <c r="E519" s="1081">
        <v>2300</v>
      </c>
      <c r="F519" s="1082">
        <v>44790822</v>
      </c>
      <c r="G519" s="1083" t="s">
        <v>2349</v>
      </c>
      <c r="H519" s="1083" t="s">
        <v>2350</v>
      </c>
      <c r="I519" s="1084" t="s">
        <v>2338</v>
      </c>
      <c r="J519" s="1085" t="s">
        <v>2350</v>
      </c>
      <c r="K519" s="1086">
        <v>0</v>
      </c>
      <c r="L519" s="1087">
        <v>12</v>
      </c>
      <c r="M519" s="1088">
        <f t="shared" si="16"/>
        <v>27600</v>
      </c>
      <c r="N519" s="1077">
        <v>0</v>
      </c>
      <c r="O519" s="1078">
        <v>6</v>
      </c>
      <c r="P519" s="1089">
        <f t="shared" si="17"/>
        <v>13800</v>
      </c>
    </row>
    <row r="520" spans="1:16" ht="15" x14ac:dyDescent="0.2">
      <c r="A520" s="1077" t="s">
        <v>2333</v>
      </c>
      <c r="B520" s="1078" t="s">
        <v>2334</v>
      </c>
      <c r="C520" s="1079" t="s">
        <v>1444</v>
      </c>
      <c r="D520" s="1080" t="s">
        <v>2351</v>
      </c>
      <c r="E520" s="1081">
        <v>1100</v>
      </c>
      <c r="F520" s="1082">
        <v>17434463</v>
      </c>
      <c r="G520" s="1083" t="s">
        <v>2352</v>
      </c>
      <c r="H520" s="1083" t="s">
        <v>2353</v>
      </c>
      <c r="I520" s="1084" t="s">
        <v>2338</v>
      </c>
      <c r="J520" s="1085" t="s">
        <v>2353</v>
      </c>
      <c r="K520" s="1086">
        <v>0</v>
      </c>
      <c r="L520" s="1087">
        <v>12</v>
      </c>
      <c r="M520" s="1088">
        <f t="shared" si="16"/>
        <v>13200</v>
      </c>
      <c r="N520" s="1077">
        <v>0</v>
      </c>
      <c r="O520" s="1078">
        <v>6</v>
      </c>
      <c r="P520" s="1089">
        <f t="shared" si="17"/>
        <v>6600</v>
      </c>
    </row>
    <row r="521" spans="1:16" ht="15" x14ac:dyDescent="0.2">
      <c r="A521" s="1077" t="s">
        <v>2333</v>
      </c>
      <c r="B521" s="1078" t="s">
        <v>2334</v>
      </c>
      <c r="C521" s="1079" t="s">
        <v>1444</v>
      </c>
      <c r="D521" s="1080" t="s">
        <v>2354</v>
      </c>
      <c r="E521" s="1081">
        <v>1700</v>
      </c>
      <c r="F521" s="1082">
        <v>42789394</v>
      </c>
      <c r="G521" s="1083" t="s">
        <v>2355</v>
      </c>
      <c r="H521" s="1083" t="s">
        <v>613</v>
      </c>
      <c r="I521" s="1084" t="s">
        <v>2338</v>
      </c>
      <c r="J521" s="1085" t="s">
        <v>613</v>
      </c>
      <c r="K521" s="1086">
        <v>0</v>
      </c>
      <c r="L521" s="1087">
        <v>12</v>
      </c>
      <c r="M521" s="1088">
        <f t="shared" si="16"/>
        <v>20400</v>
      </c>
      <c r="N521" s="1077">
        <v>0</v>
      </c>
      <c r="O521" s="1078">
        <v>6</v>
      </c>
      <c r="P521" s="1089">
        <f t="shared" si="17"/>
        <v>10200</v>
      </c>
    </row>
    <row r="522" spans="1:16" ht="15" x14ac:dyDescent="0.2">
      <c r="A522" s="1077" t="s">
        <v>2333</v>
      </c>
      <c r="B522" s="1078" t="s">
        <v>2334</v>
      </c>
      <c r="C522" s="1079" t="s">
        <v>1444</v>
      </c>
      <c r="D522" s="1080" t="s">
        <v>2356</v>
      </c>
      <c r="E522" s="1081">
        <v>1300</v>
      </c>
      <c r="F522" s="1082">
        <v>71337416</v>
      </c>
      <c r="G522" s="1083" t="s">
        <v>2357</v>
      </c>
      <c r="H522" s="1083" t="s">
        <v>904</v>
      </c>
      <c r="I522" s="1084" t="s">
        <v>2338</v>
      </c>
      <c r="J522" s="1085" t="s">
        <v>904</v>
      </c>
      <c r="K522" s="1086">
        <v>0</v>
      </c>
      <c r="L522" s="1087">
        <v>12</v>
      </c>
      <c r="M522" s="1088">
        <f t="shared" si="16"/>
        <v>15600</v>
      </c>
      <c r="N522" s="1048">
        <v>0</v>
      </c>
      <c r="O522" s="1078">
        <v>6</v>
      </c>
      <c r="P522" s="1089">
        <f t="shared" si="17"/>
        <v>7800</v>
      </c>
    </row>
    <row r="523" spans="1:16" ht="15" x14ac:dyDescent="0.2">
      <c r="A523" s="1077" t="s">
        <v>2333</v>
      </c>
      <c r="B523" s="1078" t="s">
        <v>2334</v>
      </c>
      <c r="C523" s="1079" t="s">
        <v>1444</v>
      </c>
      <c r="D523" s="1080" t="s">
        <v>2358</v>
      </c>
      <c r="E523" s="1081">
        <v>1400</v>
      </c>
      <c r="F523" s="1082">
        <v>74214198</v>
      </c>
      <c r="G523" s="1083" t="s">
        <v>2359</v>
      </c>
      <c r="H523" s="1083" t="s">
        <v>1656</v>
      </c>
      <c r="I523" s="1084" t="s">
        <v>2338</v>
      </c>
      <c r="J523" s="1085" t="s">
        <v>1656</v>
      </c>
      <c r="K523" s="1086">
        <v>0</v>
      </c>
      <c r="L523" s="1087">
        <v>12</v>
      </c>
      <c r="M523" s="1088">
        <f t="shared" si="16"/>
        <v>16800</v>
      </c>
      <c r="N523" s="1077">
        <v>0</v>
      </c>
      <c r="O523" s="1078">
        <v>6</v>
      </c>
      <c r="P523" s="1089">
        <f t="shared" si="17"/>
        <v>8400</v>
      </c>
    </row>
    <row r="524" spans="1:16" ht="15" x14ac:dyDescent="0.2">
      <c r="A524" s="1077" t="s">
        <v>2333</v>
      </c>
      <c r="B524" s="1078" t="s">
        <v>2334</v>
      </c>
      <c r="C524" s="1079" t="s">
        <v>1444</v>
      </c>
      <c r="D524" s="1080" t="s">
        <v>2360</v>
      </c>
      <c r="E524" s="1081">
        <v>1700</v>
      </c>
      <c r="F524" s="1082">
        <v>42132123</v>
      </c>
      <c r="G524" s="1083" t="s">
        <v>2361</v>
      </c>
      <c r="H524" s="1083" t="s">
        <v>545</v>
      </c>
      <c r="I524" s="1084" t="s">
        <v>2338</v>
      </c>
      <c r="J524" s="1085" t="s">
        <v>545</v>
      </c>
      <c r="K524" s="1086">
        <v>0</v>
      </c>
      <c r="L524" s="1087">
        <v>12</v>
      </c>
      <c r="M524" s="1088">
        <f t="shared" si="16"/>
        <v>20400</v>
      </c>
      <c r="N524" s="1077">
        <v>0</v>
      </c>
      <c r="O524" s="1078">
        <v>6</v>
      </c>
      <c r="P524" s="1089">
        <f t="shared" si="17"/>
        <v>10200</v>
      </c>
    </row>
    <row r="525" spans="1:16" ht="15" x14ac:dyDescent="0.2">
      <c r="A525" s="1077" t="s">
        <v>2333</v>
      </c>
      <c r="B525" s="1078" t="s">
        <v>2334</v>
      </c>
      <c r="C525" s="1079" t="s">
        <v>1444</v>
      </c>
      <c r="D525" s="1080" t="s">
        <v>2362</v>
      </c>
      <c r="E525" s="1081">
        <v>1200</v>
      </c>
      <c r="F525" s="1082">
        <v>25461680</v>
      </c>
      <c r="G525" s="1083" t="s">
        <v>2363</v>
      </c>
      <c r="H525" s="1083" t="s">
        <v>2364</v>
      </c>
      <c r="I525" s="1084" t="s">
        <v>2338</v>
      </c>
      <c r="J525" s="1085" t="s">
        <v>2364</v>
      </c>
      <c r="K525" s="1086">
        <v>0</v>
      </c>
      <c r="L525" s="1087">
        <v>12</v>
      </c>
      <c r="M525" s="1088">
        <f t="shared" si="16"/>
        <v>14400</v>
      </c>
      <c r="N525" s="1077">
        <v>0</v>
      </c>
      <c r="O525" s="1078">
        <v>6</v>
      </c>
      <c r="P525" s="1089">
        <f t="shared" si="17"/>
        <v>7200</v>
      </c>
    </row>
    <row r="526" spans="1:16" ht="15" x14ac:dyDescent="0.2">
      <c r="A526" s="1077" t="s">
        <v>2333</v>
      </c>
      <c r="B526" s="1078" t="s">
        <v>2334</v>
      </c>
      <c r="C526" s="1079" t="s">
        <v>1444</v>
      </c>
      <c r="D526" s="1080" t="s">
        <v>2365</v>
      </c>
      <c r="E526" s="1081">
        <v>1200</v>
      </c>
      <c r="F526" s="1082">
        <v>25866677</v>
      </c>
      <c r="G526" s="1083" t="s">
        <v>2366</v>
      </c>
      <c r="H526" s="1083" t="s">
        <v>904</v>
      </c>
      <c r="I526" s="1084" t="s">
        <v>2338</v>
      </c>
      <c r="J526" s="1085" t="s">
        <v>904</v>
      </c>
      <c r="K526" s="1086">
        <v>0</v>
      </c>
      <c r="L526" s="1087">
        <v>12</v>
      </c>
      <c r="M526" s="1088">
        <f t="shared" si="16"/>
        <v>14400</v>
      </c>
      <c r="N526" s="1077">
        <v>0</v>
      </c>
      <c r="O526" s="1078">
        <v>6</v>
      </c>
      <c r="P526" s="1089">
        <f t="shared" si="17"/>
        <v>7200</v>
      </c>
    </row>
    <row r="527" spans="1:16" ht="15" x14ac:dyDescent="0.2">
      <c r="A527" s="1077" t="s">
        <v>2333</v>
      </c>
      <c r="B527" s="1078" t="s">
        <v>2334</v>
      </c>
      <c r="C527" s="1079" t="s">
        <v>1444</v>
      </c>
      <c r="D527" s="1080" t="s">
        <v>2351</v>
      </c>
      <c r="E527" s="1081">
        <v>1100</v>
      </c>
      <c r="F527" s="1082">
        <v>44000122</v>
      </c>
      <c r="G527" s="1083" t="s">
        <v>2367</v>
      </c>
      <c r="H527" s="1083" t="s">
        <v>2368</v>
      </c>
      <c r="I527" s="1084" t="s">
        <v>2338</v>
      </c>
      <c r="J527" s="1085" t="s">
        <v>2368</v>
      </c>
      <c r="K527" s="1086">
        <v>0</v>
      </c>
      <c r="L527" s="1087">
        <v>12</v>
      </c>
      <c r="M527" s="1088">
        <f t="shared" si="16"/>
        <v>13200</v>
      </c>
      <c r="N527" s="1077">
        <v>0</v>
      </c>
      <c r="O527" s="1078">
        <v>6</v>
      </c>
      <c r="P527" s="1089">
        <f t="shared" si="17"/>
        <v>6600</v>
      </c>
    </row>
    <row r="528" spans="1:16" ht="15" x14ac:dyDescent="0.2">
      <c r="A528" s="1077" t="s">
        <v>2333</v>
      </c>
      <c r="B528" s="1078" t="s">
        <v>2334</v>
      </c>
      <c r="C528" s="1079" t="s">
        <v>1444</v>
      </c>
      <c r="D528" s="1080" t="s">
        <v>2369</v>
      </c>
      <c r="E528" s="1081">
        <v>2800</v>
      </c>
      <c r="F528" s="1082">
        <v>40495125</v>
      </c>
      <c r="G528" s="1083" t="s">
        <v>2370</v>
      </c>
      <c r="H528" s="1083" t="s">
        <v>2350</v>
      </c>
      <c r="I528" s="1084" t="s">
        <v>2338</v>
      </c>
      <c r="J528" s="1085" t="s">
        <v>2350</v>
      </c>
      <c r="K528" s="1086">
        <v>0</v>
      </c>
      <c r="L528" s="1087">
        <v>12</v>
      </c>
      <c r="M528" s="1088">
        <f t="shared" si="16"/>
        <v>33600</v>
      </c>
      <c r="N528" s="1077">
        <v>0</v>
      </c>
      <c r="O528" s="1078">
        <v>6</v>
      </c>
      <c r="P528" s="1089">
        <f t="shared" si="17"/>
        <v>16800</v>
      </c>
    </row>
    <row r="529" spans="1:16" ht="15" x14ac:dyDescent="0.2">
      <c r="A529" s="1077" t="s">
        <v>2333</v>
      </c>
      <c r="B529" s="1078" t="s">
        <v>2334</v>
      </c>
      <c r="C529" s="1079" t="s">
        <v>1444</v>
      </c>
      <c r="D529" s="1080" t="s">
        <v>2360</v>
      </c>
      <c r="E529" s="1081">
        <v>2500</v>
      </c>
      <c r="F529" s="1082">
        <v>46720755</v>
      </c>
      <c r="G529" s="1083" t="s">
        <v>2371</v>
      </c>
      <c r="H529" s="1083" t="s">
        <v>613</v>
      </c>
      <c r="I529" s="1084" t="s">
        <v>2338</v>
      </c>
      <c r="J529" s="1085" t="s">
        <v>613</v>
      </c>
      <c r="K529" s="1086">
        <v>0</v>
      </c>
      <c r="L529" s="1087">
        <v>12</v>
      </c>
      <c r="M529" s="1088">
        <f t="shared" si="16"/>
        <v>30000</v>
      </c>
      <c r="N529" s="1077">
        <v>0</v>
      </c>
      <c r="O529" s="1078">
        <v>6</v>
      </c>
      <c r="P529" s="1089">
        <f t="shared" si="17"/>
        <v>15000</v>
      </c>
    </row>
    <row r="530" spans="1:16" ht="15" x14ac:dyDescent="0.2">
      <c r="A530" s="1077" t="s">
        <v>2333</v>
      </c>
      <c r="B530" s="1078" t="s">
        <v>2334</v>
      </c>
      <c r="C530" s="1079" t="s">
        <v>1444</v>
      </c>
      <c r="D530" s="1080" t="s">
        <v>2372</v>
      </c>
      <c r="E530" s="1081">
        <v>1400</v>
      </c>
      <c r="F530" s="1094">
        <v>15850106</v>
      </c>
      <c r="G530" s="1083" t="s">
        <v>2373</v>
      </c>
      <c r="H530" s="1083" t="s">
        <v>2372</v>
      </c>
      <c r="I530" s="1084" t="s">
        <v>2338</v>
      </c>
      <c r="J530" s="1085" t="s">
        <v>2372</v>
      </c>
      <c r="K530" s="1086">
        <v>0</v>
      </c>
      <c r="L530" s="1087">
        <v>12</v>
      </c>
      <c r="M530" s="1088">
        <f t="shared" si="16"/>
        <v>16800</v>
      </c>
      <c r="N530" s="1077">
        <v>0</v>
      </c>
      <c r="O530" s="1078">
        <v>6</v>
      </c>
      <c r="P530" s="1089">
        <f t="shared" si="17"/>
        <v>8400</v>
      </c>
    </row>
    <row r="531" spans="1:16" ht="15" x14ac:dyDescent="0.2">
      <c r="A531" s="1077" t="s">
        <v>2333</v>
      </c>
      <c r="B531" s="1078" t="s">
        <v>2334</v>
      </c>
      <c r="C531" s="1079" t="s">
        <v>1444</v>
      </c>
      <c r="D531" s="1080" t="s">
        <v>2374</v>
      </c>
      <c r="E531" s="1081">
        <v>2300</v>
      </c>
      <c r="F531" s="1082">
        <v>44537491</v>
      </c>
      <c r="G531" s="1083" t="s">
        <v>2375</v>
      </c>
      <c r="H531" s="1083" t="s">
        <v>2376</v>
      </c>
      <c r="I531" s="1084" t="s">
        <v>2338</v>
      </c>
      <c r="J531" s="1085" t="s">
        <v>2376</v>
      </c>
      <c r="K531" s="1086">
        <v>0</v>
      </c>
      <c r="L531" s="1087">
        <v>12</v>
      </c>
      <c r="M531" s="1088">
        <f t="shared" si="16"/>
        <v>27600</v>
      </c>
      <c r="N531" s="1077">
        <v>0</v>
      </c>
      <c r="O531" s="1078">
        <v>6</v>
      </c>
      <c r="P531" s="1089">
        <f t="shared" si="17"/>
        <v>13800</v>
      </c>
    </row>
    <row r="532" spans="1:16" ht="15" x14ac:dyDescent="0.2">
      <c r="A532" s="1077" t="s">
        <v>2333</v>
      </c>
      <c r="B532" s="1078" t="s">
        <v>2334</v>
      </c>
      <c r="C532" s="1079" t="s">
        <v>1444</v>
      </c>
      <c r="D532" s="1080" t="s">
        <v>2358</v>
      </c>
      <c r="E532" s="1081">
        <v>1400</v>
      </c>
      <c r="F532" s="1082">
        <v>42506847</v>
      </c>
      <c r="G532" s="1083" t="s">
        <v>2377</v>
      </c>
      <c r="H532" s="1083" t="s">
        <v>1656</v>
      </c>
      <c r="I532" s="1084" t="s">
        <v>2338</v>
      </c>
      <c r="J532" s="1085" t="s">
        <v>1656</v>
      </c>
      <c r="K532" s="1086">
        <v>0</v>
      </c>
      <c r="L532" s="1087">
        <v>12</v>
      </c>
      <c r="M532" s="1088">
        <f t="shared" si="16"/>
        <v>16800</v>
      </c>
      <c r="N532" s="1077">
        <v>0</v>
      </c>
      <c r="O532" s="1078">
        <v>6</v>
      </c>
      <c r="P532" s="1089">
        <f t="shared" si="17"/>
        <v>8400</v>
      </c>
    </row>
    <row r="533" spans="1:16" ht="15" x14ac:dyDescent="0.2">
      <c r="A533" s="1077" t="s">
        <v>2333</v>
      </c>
      <c r="B533" s="1078" t="s">
        <v>2334</v>
      </c>
      <c r="C533" s="1079" t="s">
        <v>1444</v>
      </c>
      <c r="D533" s="1080" t="s">
        <v>2372</v>
      </c>
      <c r="E533" s="1081">
        <v>1400</v>
      </c>
      <c r="F533" s="1082">
        <v>41749615</v>
      </c>
      <c r="G533" s="1083" t="s">
        <v>2378</v>
      </c>
      <c r="H533" s="1083" t="s">
        <v>2372</v>
      </c>
      <c r="I533" s="1084" t="s">
        <v>2338</v>
      </c>
      <c r="J533" s="1085" t="s">
        <v>2372</v>
      </c>
      <c r="K533" s="1086">
        <v>0</v>
      </c>
      <c r="L533" s="1087">
        <v>12</v>
      </c>
      <c r="M533" s="1088">
        <f t="shared" si="16"/>
        <v>16800</v>
      </c>
      <c r="N533" s="1077">
        <v>0</v>
      </c>
      <c r="O533" s="1078">
        <v>6</v>
      </c>
      <c r="P533" s="1089">
        <f t="shared" si="17"/>
        <v>8400</v>
      </c>
    </row>
    <row r="534" spans="1:16" ht="15" x14ac:dyDescent="0.2">
      <c r="A534" s="1077" t="s">
        <v>2333</v>
      </c>
      <c r="B534" s="1078" t="s">
        <v>2334</v>
      </c>
      <c r="C534" s="1079" t="s">
        <v>1444</v>
      </c>
      <c r="D534" s="1080" t="s">
        <v>2335</v>
      </c>
      <c r="E534" s="1081">
        <v>2300</v>
      </c>
      <c r="F534" s="1082">
        <v>45731896</v>
      </c>
      <c r="G534" s="1083" t="s">
        <v>2379</v>
      </c>
      <c r="H534" s="1083" t="s">
        <v>2337</v>
      </c>
      <c r="I534" s="1084" t="s">
        <v>2338</v>
      </c>
      <c r="J534" s="1085" t="s">
        <v>2337</v>
      </c>
      <c r="K534" s="1086">
        <v>0</v>
      </c>
      <c r="L534" s="1087">
        <v>12</v>
      </c>
      <c r="M534" s="1088">
        <f t="shared" si="16"/>
        <v>27600</v>
      </c>
      <c r="N534" s="1077">
        <v>0</v>
      </c>
      <c r="O534" s="1078">
        <v>6</v>
      </c>
      <c r="P534" s="1089">
        <f t="shared" si="17"/>
        <v>13800</v>
      </c>
    </row>
    <row r="535" spans="1:16" ht="15" x14ac:dyDescent="0.2">
      <c r="A535" s="1077" t="s">
        <v>2333</v>
      </c>
      <c r="B535" s="1078" t="s">
        <v>2334</v>
      </c>
      <c r="C535" s="1079" t="s">
        <v>1444</v>
      </c>
      <c r="D535" s="1080" t="s">
        <v>2380</v>
      </c>
      <c r="E535" s="1081">
        <v>2500</v>
      </c>
      <c r="F535" s="1082">
        <v>41065294</v>
      </c>
      <c r="G535" s="1083" t="s">
        <v>2381</v>
      </c>
      <c r="H535" s="1083" t="s">
        <v>613</v>
      </c>
      <c r="I535" s="1084" t="s">
        <v>2338</v>
      </c>
      <c r="J535" s="1085" t="s">
        <v>613</v>
      </c>
      <c r="K535" s="1086">
        <v>0</v>
      </c>
      <c r="L535" s="1087">
        <v>12</v>
      </c>
      <c r="M535" s="1088">
        <f t="shared" si="16"/>
        <v>30000</v>
      </c>
      <c r="N535" s="1077">
        <v>0</v>
      </c>
      <c r="O535" s="1078">
        <v>6</v>
      </c>
      <c r="P535" s="1089">
        <f t="shared" si="17"/>
        <v>15000</v>
      </c>
    </row>
    <row r="536" spans="1:16" ht="15" x14ac:dyDescent="0.2">
      <c r="A536" s="1077" t="s">
        <v>2333</v>
      </c>
      <c r="B536" s="1078" t="s">
        <v>2334</v>
      </c>
      <c r="C536" s="1079" t="s">
        <v>1444</v>
      </c>
      <c r="D536" s="1080" t="s">
        <v>2335</v>
      </c>
      <c r="E536" s="1081">
        <v>1400</v>
      </c>
      <c r="F536" s="1082">
        <v>10438140</v>
      </c>
      <c r="G536" s="1083" t="s">
        <v>2382</v>
      </c>
      <c r="H536" s="1083" t="s">
        <v>1651</v>
      </c>
      <c r="I536" s="1084" t="s">
        <v>2338</v>
      </c>
      <c r="J536" s="1085" t="s">
        <v>1651</v>
      </c>
      <c r="K536" s="1086">
        <v>0</v>
      </c>
      <c r="L536" s="1087">
        <v>12</v>
      </c>
      <c r="M536" s="1088">
        <f t="shared" si="16"/>
        <v>16800</v>
      </c>
      <c r="N536" s="1077">
        <v>0</v>
      </c>
      <c r="O536" s="1078">
        <v>6</v>
      </c>
      <c r="P536" s="1089">
        <f t="shared" si="17"/>
        <v>8400</v>
      </c>
    </row>
    <row r="537" spans="1:16" ht="15" x14ac:dyDescent="0.2">
      <c r="A537" s="1077" t="s">
        <v>2333</v>
      </c>
      <c r="B537" s="1078" t="s">
        <v>2334</v>
      </c>
      <c r="C537" s="1079" t="s">
        <v>1444</v>
      </c>
      <c r="D537" s="1080" t="s">
        <v>2356</v>
      </c>
      <c r="E537" s="1081">
        <v>5000</v>
      </c>
      <c r="F537" s="1082">
        <v>41913579</v>
      </c>
      <c r="G537" s="1083" t="s">
        <v>2383</v>
      </c>
      <c r="H537" s="1083" t="s">
        <v>1834</v>
      </c>
      <c r="I537" s="1084" t="s">
        <v>2338</v>
      </c>
      <c r="J537" s="1085" t="s">
        <v>1834</v>
      </c>
      <c r="K537" s="1086">
        <v>0</v>
      </c>
      <c r="L537" s="1087">
        <v>12</v>
      </c>
      <c r="M537" s="1088">
        <f t="shared" si="16"/>
        <v>60000</v>
      </c>
      <c r="N537" s="1077">
        <v>0</v>
      </c>
      <c r="O537" s="1078">
        <v>6</v>
      </c>
      <c r="P537" s="1089">
        <f t="shared" si="17"/>
        <v>30000</v>
      </c>
    </row>
    <row r="538" spans="1:16" ht="15" x14ac:dyDescent="0.2">
      <c r="A538" s="1077" t="s">
        <v>2333</v>
      </c>
      <c r="B538" s="1078" t="s">
        <v>2334</v>
      </c>
      <c r="C538" s="1079" t="s">
        <v>1444</v>
      </c>
      <c r="D538" s="1080" t="s">
        <v>2362</v>
      </c>
      <c r="E538" s="1081">
        <v>1200</v>
      </c>
      <c r="F538" s="1082">
        <v>25823445</v>
      </c>
      <c r="G538" s="1083" t="s">
        <v>2384</v>
      </c>
      <c r="H538" s="1083" t="s">
        <v>2364</v>
      </c>
      <c r="I538" s="1084" t="s">
        <v>2338</v>
      </c>
      <c r="J538" s="1085" t="s">
        <v>2364</v>
      </c>
      <c r="K538" s="1086">
        <v>0</v>
      </c>
      <c r="L538" s="1087">
        <v>12</v>
      </c>
      <c r="M538" s="1088">
        <f t="shared" si="16"/>
        <v>14400</v>
      </c>
      <c r="N538" s="1077">
        <v>0</v>
      </c>
      <c r="O538" s="1078">
        <v>6</v>
      </c>
      <c r="P538" s="1089">
        <f t="shared" si="17"/>
        <v>7200</v>
      </c>
    </row>
    <row r="539" spans="1:16" ht="15" x14ac:dyDescent="0.2">
      <c r="A539" s="1077" t="s">
        <v>2333</v>
      </c>
      <c r="B539" s="1078" t="s">
        <v>2334</v>
      </c>
      <c r="C539" s="1079" t="s">
        <v>1444</v>
      </c>
      <c r="D539" s="1080" t="s">
        <v>2365</v>
      </c>
      <c r="E539" s="1081">
        <v>1300</v>
      </c>
      <c r="F539" s="1082">
        <v>25752458</v>
      </c>
      <c r="G539" s="1083" t="s">
        <v>2385</v>
      </c>
      <c r="H539" s="1083" t="s">
        <v>2386</v>
      </c>
      <c r="I539" s="1084" t="s">
        <v>2338</v>
      </c>
      <c r="J539" s="1085" t="s">
        <v>2386</v>
      </c>
      <c r="K539" s="1086">
        <v>0</v>
      </c>
      <c r="L539" s="1087">
        <v>12</v>
      </c>
      <c r="M539" s="1088">
        <f t="shared" si="16"/>
        <v>15600</v>
      </c>
      <c r="N539" s="1077">
        <v>0</v>
      </c>
      <c r="O539" s="1078">
        <v>6</v>
      </c>
      <c r="P539" s="1089">
        <f t="shared" si="17"/>
        <v>7800</v>
      </c>
    </row>
    <row r="540" spans="1:16" ht="15" x14ac:dyDescent="0.2">
      <c r="A540" s="1077" t="s">
        <v>2333</v>
      </c>
      <c r="B540" s="1078" t="s">
        <v>2334</v>
      </c>
      <c r="C540" s="1079" t="s">
        <v>1444</v>
      </c>
      <c r="D540" s="1080" t="s">
        <v>2387</v>
      </c>
      <c r="E540" s="1081">
        <v>1100</v>
      </c>
      <c r="F540" s="1082">
        <v>40840909</v>
      </c>
      <c r="G540" s="1083" t="s">
        <v>2388</v>
      </c>
      <c r="H540" s="1083" t="s">
        <v>904</v>
      </c>
      <c r="I540" s="1084" t="s">
        <v>2338</v>
      </c>
      <c r="J540" s="1085" t="s">
        <v>904</v>
      </c>
      <c r="K540" s="1086">
        <v>0</v>
      </c>
      <c r="L540" s="1087">
        <v>12</v>
      </c>
      <c r="M540" s="1088">
        <f t="shared" si="16"/>
        <v>13200</v>
      </c>
      <c r="N540" s="1077">
        <v>0</v>
      </c>
      <c r="O540" s="1078">
        <v>6</v>
      </c>
      <c r="P540" s="1089">
        <f t="shared" si="17"/>
        <v>6600</v>
      </c>
    </row>
    <row r="541" spans="1:16" ht="15" x14ac:dyDescent="0.2">
      <c r="A541" s="1077" t="s">
        <v>2333</v>
      </c>
      <c r="B541" s="1078" t="s">
        <v>2334</v>
      </c>
      <c r="C541" s="1079" t="s">
        <v>1444</v>
      </c>
      <c r="D541" s="1080" t="s">
        <v>2335</v>
      </c>
      <c r="E541" s="1081">
        <v>2300</v>
      </c>
      <c r="F541" s="1082">
        <v>44674581</v>
      </c>
      <c r="G541" s="1083" t="s">
        <v>2389</v>
      </c>
      <c r="H541" s="1083" t="s">
        <v>2337</v>
      </c>
      <c r="I541" s="1084" t="s">
        <v>2338</v>
      </c>
      <c r="J541" s="1085" t="s">
        <v>2337</v>
      </c>
      <c r="K541" s="1086">
        <v>0</v>
      </c>
      <c r="L541" s="1087">
        <v>12</v>
      </c>
      <c r="M541" s="1088">
        <f t="shared" si="16"/>
        <v>27600</v>
      </c>
      <c r="N541" s="1077">
        <v>0</v>
      </c>
      <c r="O541" s="1078">
        <v>6</v>
      </c>
      <c r="P541" s="1089">
        <f t="shared" si="17"/>
        <v>13800</v>
      </c>
    </row>
    <row r="542" spans="1:16" ht="15" x14ac:dyDescent="0.2">
      <c r="A542" s="1077" t="s">
        <v>2333</v>
      </c>
      <c r="B542" s="1078" t="s">
        <v>2334</v>
      </c>
      <c r="C542" s="1079" t="s">
        <v>1444</v>
      </c>
      <c r="D542" s="1080" t="s">
        <v>2390</v>
      </c>
      <c r="E542" s="1081">
        <v>1400</v>
      </c>
      <c r="F542" s="1082">
        <v>6446838</v>
      </c>
      <c r="G542" s="1083" t="s">
        <v>2391</v>
      </c>
      <c r="H542" s="1083" t="s">
        <v>1651</v>
      </c>
      <c r="I542" s="1084" t="s">
        <v>2338</v>
      </c>
      <c r="J542" s="1085" t="s">
        <v>1651</v>
      </c>
      <c r="K542" s="1086">
        <v>0</v>
      </c>
      <c r="L542" s="1087">
        <v>12</v>
      </c>
      <c r="M542" s="1088">
        <f t="shared" si="16"/>
        <v>16800</v>
      </c>
      <c r="N542" s="1077">
        <v>0</v>
      </c>
      <c r="O542" s="1078">
        <v>6</v>
      </c>
      <c r="P542" s="1089">
        <f t="shared" si="17"/>
        <v>8400</v>
      </c>
    </row>
    <row r="543" spans="1:16" ht="15" x14ac:dyDescent="0.2">
      <c r="A543" s="1077" t="s">
        <v>2333</v>
      </c>
      <c r="B543" s="1078" t="s">
        <v>2334</v>
      </c>
      <c r="C543" s="1079" t="s">
        <v>1444</v>
      </c>
      <c r="D543" s="1080" t="s">
        <v>2392</v>
      </c>
      <c r="E543" s="1081">
        <v>1500</v>
      </c>
      <c r="F543" s="1082">
        <v>40784349</v>
      </c>
      <c r="G543" s="1083" t="s">
        <v>2393</v>
      </c>
      <c r="H543" s="1083" t="s">
        <v>2368</v>
      </c>
      <c r="I543" s="1084" t="s">
        <v>2338</v>
      </c>
      <c r="J543" s="1085" t="s">
        <v>2368</v>
      </c>
      <c r="K543" s="1086">
        <v>0</v>
      </c>
      <c r="L543" s="1087">
        <v>12</v>
      </c>
      <c r="M543" s="1088">
        <f t="shared" si="16"/>
        <v>18000</v>
      </c>
      <c r="N543" s="1077">
        <v>0</v>
      </c>
      <c r="O543" s="1078">
        <v>6</v>
      </c>
      <c r="P543" s="1089">
        <f t="shared" si="17"/>
        <v>9000</v>
      </c>
    </row>
    <row r="544" spans="1:16" ht="15" x14ac:dyDescent="0.2">
      <c r="A544" s="1077" t="s">
        <v>2333</v>
      </c>
      <c r="B544" s="1078" t="s">
        <v>2334</v>
      </c>
      <c r="C544" s="1079" t="s">
        <v>1444</v>
      </c>
      <c r="D544" s="1080" t="s">
        <v>2344</v>
      </c>
      <c r="E544" s="1081">
        <v>1400</v>
      </c>
      <c r="F544" s="1082">
        <v>8635488</v>
      </c>
      <c r="G544" s="1083" t="s">
        <v>2394</v>
      </c>
      <c r="H544" s="1083" t="s">
        <v>1716</v>
      </c>
      <c r="I544" s="1084" t="s">
        <v>2338</v>
      </c>
      <c r="J544" s="1085" t="s">
        <v>1716</v>
      </c>
      <c r="K544" s="1086">
        <v>0</v>
      </c>
      <c r="L544" s="1087">
        <v>12</v>
      </c>
      <c r="M544" s="1088">
        <f t="shared" si="16"/>
        <v>16800</v>
      </c>
      <c r="N544" s="1077">
        <v>0</v>
      </c>
      <c r="O544" s="1078">
        <v>6</v>
      </c>
      <c r="P544" s="1089">
        <f t="shared" si="17"/>
        <v>8400</v>
      </c>
    </row>
    <row r="545" spans="1:16" ht="15" x14ac:dyDescent="0.2">
      <c r="A545" s="1077" t="s">
        <v>2333</v>
      </c>
      <c r="B545" s="1078" t="s">
        <v>2334</v>
      </c>
      <c r="C545" s="1079" t="s">
        <v>1444</v>
      </c>
      <c r="D545" s="1080" t="s">
        <v>2351</v>
      </c>
      <c r="E545" s="1081">
        <v>1500</v>
      </c>
      <c r="F545" s="1082">
        <v>25685214</v>
      </c>
      <c r="G545" s="1083" t="s">
        <v>2395</v>
      </c>
      <c r="H545" s="1083" t="s">
        <v>2368</v>
      </c>
      <c r="I545" s="1084" t="s">
        <v>2338</v>
      </c>
      <c r="J545" s="1085" t="s">
        <v>2368</v>
      </c>
      <c r="K545" s="1086">
        <v>0</v>
      </c>
      <c r="L545" s="1087">
        <v>12</v>
      </c>
      <c r="M545" s="1088">
        <f t="shared" si="16"/>
        <v>18000</v>
      </c>
      <c r="N545" s="1077">
        <v>0</v>
      </c>
      <c r="O545" s="1078">
        <v>6</v>
      </c>
      <c r="P545" s="1089">
        <f t="shared" si="17"/>
        <v>9000</v>
      </c>
    </row>
    <row r="546" spans="1:16" ht="15" x14ac:dyDescent="0.2">
      <c r="A546" s="1077" t="s">
        <v>2333</v>
      </c>
      <c r="B546" s="1078" t="s">
        <v>2334</v>
      </c>
      <c r="C546" s="1079" t="s">
        <v>1444</v>
      </c>
      <c r="D546" s="1080" t="s">
        <v>2396</v>
      </c>
      <c r="E546" s="1081">
        <v>4000</v>
      </c>
      <c r="F546" s="1082">
        <v>32796433</v>
      </c>
      <c r="G546" s="1095" t="s">
        <v>2397</v>
      </c>
      <c r="H546" s="1083" t="s">
        <v>2228</v>
      </c>
      <c r="I546" s="1084" t="s">
        <v>2338</v>
      </c>
      <c r="J546" s="1085" t="s">
        <v>2228</v>
      </c>
      <c r="K546" s="1086">
        <v>0</v>
      </c>
      <c r="L546" s="1087">
        <v>12</v>
      </c>
      <c r="M546" s="1088">
        <f t="shared" si="16"/>
        <v>48000</v>
      </c>
      <c r="N546" s="1077">
        <v>0</v>
      </c>
      <c r="O546" s="1078">
        <v>6</v>
      </c>
      <c r="P546" s="1089">
        <f t="shared" si="17"/>
        <v>24000</v>
      </c>
    </row>
    <row r="547" spans="1:16" ht="15" x14ac:dyDescent="0.2">
      <c r="A547" s="1077" t="s">
        <v>2333</v>
      </c>
      <c r="B547" s="1078" t="s">
        <v>2334</v>
      </c>
      <c r="C547" s="1079" t="s">
        <v>1444</v>
      </c>
      <c r="D547" s="1080" t="s">
        <v>2358</v>
      </c>
      <c r="E547" s="1081">
        <v>1400</v>
      </c>
      <c r="F547" s="1082">
        <v>46075436</v>
      </c>
      <c r="G547" s="1083" t="s">
        <v>2398</v>
      </c>
      <c r="H547" s="1083" t="s">
        <v>1656</v>
      </c>
      <c r="I547" s="1084" t="s">
        <v>2338</v>
      </c>
      <c r="J547" s="1085" t="s">
        <v>1656</v>
      </c>
      <c r="K547" s="1086">
        <v>0</v>
      </c>
      <c r="L547" s="1087">
        <v>12</v>
      </c>
      <c r="M547" s="1088">
        <f t="shared" si="16"/>
        <v>16800</v>
      </c>
      <c r="N547" s="1077">
        <v>0</v>
      </c>
      <c r="O547" s="1078">
        <v>6</v>
      </c>
      <c r="P547" s="1089">
        <f t="shared" si="17"/>
        <v>8400</v>
      </c>
    </row>
    <row r="548" spans="1:16" ht="15" x14ac:dyDescent="0.2">
      <c r="A548" s="1077" t="s">
        <v>2333</v>
      </c>
      <c r="B548" s="1078" t="s">
        <v>2334</v>
      </c>
      <c r="C548" s="1079" t="s">
        <v>1444</v>
      </c>
      <c r="D548" s="1080" t="s">
        <v>2341</v>
      </c>
      <c r="E548" s="1081">
        <v>5500</v>
      </c>
      <c r="F548" s="1082">
        <v>43491459</v>
      </c>
      <c r="G548" s="1083" t="s">
        <v>2399</v>
      </c>
      <c r="H548" s="1083" t="s">
        <v>2400</v>
      </c>
      <c r="I548" s="1084" t="s">
        <v>2338</v>
      </c>
      <c r="J548" s="1085" t="s">
        <v>2400</v>
      </c>
      <c r="K548" s="1086">
        <v>0</v>
      </c>
      <c r="L548" s="1087">
        <v>12</v>
      </c>
      <c r="M548" s="1088">
        <f t="shared" si="16"/>
        <v>66000</v>
      </c>
      <c r="N548" s="1077">
        <v>0</v>
      </c>
      <c r="O548" s="1078">
        <v>6</v>
      </c>
      <c r="P548" s="1089">
        <f t="shared" si="17"/>
        <v>33000</v>
      </c>
    </row>
    <row r="549" spans="1:16" ht="15" x14ac:dyDescent="0.2">
      <c r="A549" s="1077" t="s">
        <v>2333</v>
      </c>
      <c r="B549" s="1078" t="s">
        <v>2334</v>
      </c>
      <c r="C549" s="1079" t="s">
        <v>1444</v>
      </c>
      <c r="D549" s="1080" t="s">
        <v>2387</v>
      </c>
      <c r="E549" s="1081">
        <v>1100</v>
      </c>
      <c r="F549" s="1082">
        <v>25805371</v>
      </c>
      <c r="G549" s="1083" t="s">
        <v>2401</v>
      </c>
      <c r="H549" s="1083" t="s">
        <v>2368</v>
      </c>
      <c r="I549" s="1084" t="s">
        <v>2338</v>
      </c>
      <c r="J549" s="1085" t="s">
        <v>2368</v>
      </c>
      <c r="K549" s="1086">
        <v>0</v>
      </c>
      <c r="L549" s="1087">
        <v>12</v>
      </c>
      <c r="M549" s="1088">
        <f t="shared" si="16"/>
        <v>13200</v>
      </c>
      <c r="N549" s="1077">
        <v>0</v>
      </c>
      <c r="O549" s="1078">
        <v>6</v>
      </c>
      <c r="P549" s="1089">
        <f t="shared" si="17"/>
        <v>6600</v>
      </c>
    </row>
    <row r="550" spans="1:16" ht="15" x14ac:dyDescent="0.2">
      <c r="A550" s="1077" t="s">
        <v>2333</v>
      </c>
      <c r="B550" s="1078" t="s">
        <v>2334</v>
      </c>
      <c r="C550" s="1079" t="s">
        <v>1444</v>
      </c>
      <c r="D550" s="1080" t="s">
        <v>2392</v>
      </c>
      <c r="E550" s="1081">
        <v>1100</v>
      </c>
      <c r="F550" s="1082">
        <v>10786050</v>
      </c>
      <c r="G550" s="1083" t="s">
        <v>2402</v>
      </c>
      <c r="H550" s="1083" t="s">
        <v>2368</v>
      </c>
      <c r="I550" s="1084" t="s">
        <v>2338</v>
      </c>
      <c r="J550" s="1085" t="s">
        <v>2368</v>
      </c>
      <c r="K550" s="1086">
        <v>0</v>
      </c>
      <c r="L550" s="1087">
        <v>12</v>
      </c>
      <c r="M550" s="1088">
        <f t="shared" si="16"/>
        <v>13200</v>
      </c>
      <c r="N550" s="1077">
        <v>0</v>
      </c>
      <c r="O550" s="1078">
        <v>6</v>
      </c>
      <c r="P550" s="1089">
        <f t="shared" si="17"/>
        <v>6600</v>
      </c>
    </row>
    <row r="551" spans="1:16" ht="30" x14ac:dyDescent="0.2">
      <c r="A551" s="1077" t="s">
        <v>2333</v>
      </c>
      <c r="B551" s="1078" t="s">
        <v>2334</v>
      </c>
      <c r="C551" s="1079" t="s">
        <v>1444</v>
      </c>
      <c r="D551" s="1090" t="s">
        <v>2403</v>
      </c>
      <c r="E551" s="1081">
        <v>2000</v>
      </c>
      <c r="F551" s="1082">
        <v>74698756</v>
      </c>
      <c r="G551" s="1083" t="s">
        <v>2404</v>
      </c>
      <c r="H551" s="1092" t="s">
        <v>2405</v>
      </c>
      <c r="I551" s="1084" t="s">
        <v>2338</v>
      </c>
      <c r="J551" s="1093" t="s">
        <v>2405</v>
      </c>
      <c r="K551" s="1086">
        <v>0</v>
      </c>
      <c r="L551" s="1087">
        <v>12</v>
      </c>
      <c r="M551" s="1088">
        <f t="shared" si="16"/>
        <v>24000</v>
      </c>
      <c r="N551" s="1077">
        <v>0</v>
      </c>
      <c r="O551" s="1078">
        <v>6</v>
      </c>
      <c r="P551" s="1089">
        <f t="shared" si="17"/>
        <v>12000</v>
      </c>
    </row>
    <row r="552" spans="1:16" ht="15" x14ac:dyDescent="0.2">
      <c r="A552" s="1077" t="s">
        <v>2333</v>
      </c>
      <c r="B552" s="1078" t="s">
        <v>2334</v>
      </c>
      <c r="C552" s="1079" t="s">
        <v>1444</v>
      </c>
      <c r="D552" s="1080" t="s">
        <v>2406</v>
      </c>
      <c r="E552" s="1081">
        <v>2300</v>
      </c>
      <c r="F552" s="1082">
        <v>44994079</v>
      </c>
      <c r="G552" s="1083" t="s">
        <v>2407</v>
      </c>
      <c r="H552" s="1083" t="s">
        <v>1643</v>
      </c>
      <c r="I552" s="1084" t="s">
        <v>2338</v>
      </c>
      <c r="J552" s="1085" t="s">
        <v>1643</v>
      </c>
      <c r="K552" s="1086">
        <v>0</v>
      </c>
      <c r="L552" s="1087">
        <v>12</v>
      </c>
      <c r="M552" s="1088">
        <f t="shared" si="16"/>
        <v>27600</v>
      </c>
      <c r="N552" s="1077">
        <v>0</v>
      </c>
      <c r="O552" s="1078">
        <v>6</v>
      </c>
      <c r="P552" s="1089">
        <f t="shared" si="17"/>
        <v>13800</v>
      </c>
    </row>
    <row r="553" spans="1:16" ht="15" x14ac:dyDescent="0.2">
      <c r="A553" s="1077" t="s">
        <v>2333</v>
      </c>
      <c r="B553" s="1078" t="s">
        <v>2334</v>
      </c>
      <c r="C553" s="1079" t="s">
        <v>1444</v>
      </c>
      <c r="D553" s="1080" t="s">
        <v>2408</v>
      </c>
      <c r="E553" s="1081">
        <v>1400</v>
      </c>
      <c r="F553" s="1082">
        <v>43200904</v>
      </c>
      <c r="G553" s="1083" t="s">
        <v>2409</v>
      </c>
      <c r="H553" s="1083" t="s">
        <v>1651</v>
      </c>
      <c r="I553" s="1084" t="s">
        <v>2338</v>
      </c>
      <c r="J553" s="1085" t="s">
        <v>1651</v>
      </c>
      <c r="K553" s="1086">
        <v>0</v>
      </c>
      <c r="L553" s="1087">
        <v>12</v>
      </c>
      <c r="M553" s="1088">
        <f t="shared" si="16"/>
        <v>16800</v>
      </c>
      <c r="N553" s="1077">
        <v>0</v>
      </c>
      <c r="O553" s="1078">
        <v>6</v>
      </c>
      <c r="P553" s="1089">
        <f t="shared" si="17"/>
        <v>8400</v>
      </c>
    </row>
    <row r="554" spans="1:16" ht="15" x14ac:dyDescent="0.2">
      <c r="A554" s="1077" t="s">
        <v>2333</v>
      </c>
      <c r="B554" s="1078" t="s">
        <v>2334</v>
      </c>
      <c r="C554" s="1079" t="s">
        <v>1444</v>
      </c>
      <c r="D554" s="1080" t="s">
        <v>2410</v>
      </c>
      <c r="E554" s="1081">
        <v>2800</v>
      </c>
      <c r="F554" s="1082">
        <v>8922174</v>
      </c>
      <c r="G554" s="1083" t="s">
        <v>2411</v>
      </c>
      <c r="H554" s="1083" t="s">
        <v>1811</v>
      </c>
      <c r="I554" s="1084" t="s">
        <v>2338</v>
      </c>
      <c r="J554" s="1085" t="s">
        <v>1811</v>
      </c>
      <c r="K554" s="1086">
        <v>0</v>
      </c>
      <c r="L554" s="1087">
        <v>12</v>
      </c>
      <c r="M554" s="1088">
        <f t="shared" si="16"/>
        <v>33600</v>
      </c>
      <c r="N554" s="1077">
        <v>0</v>
      </c>
      <c r="O554" s="1078">
        <v>6</v>
      </c>
      <c r="P554" s="1089">
        <f t="shared" si="17"/>
        <v>16800</v>
      </c>
    </row>
    <row r="555" spans="1:16" ht="15" x14ac:dyDescent="0.2">
      <c r="A555" s="1077" t="s">
        <v>2333</v>
      </c>
      <c r="B555" s="1078" t="s">
        <v>2334</v>
      </c>
      <c r="C555" s="1079" t="s">
        <v>1444</v>
      </c>
      <c r="D555" s="1080" t="s">
        <v>2412</v>
      </c>
      <c r="E555" s="1081">
        <v>2800</v>
      </c>
      <c r="F555" s="1082">
        <v>10241847</v>
      </c>
      <c r="G555" s="1083" t="s">
        <v>2413</v>
      </c>
      <c r="H555" s="1083" t="s">
        <v>1811</v>
      </c>
      <c r="I555" s="1084" t="s">
        <v>2338</v>
      </c>
      <c r="J555" s="1085" t="s">
        <v>1811</v>
      </c>
      <c r="K555" s="1086">
        <v>0</v>
      </c>
      <c r="L555" s="1087">
        <v>12</v>
      </c>
      <c r="M555" s="1088">
        <f t="shared" si="16"/>
        <v>33600</v>
      </c>
      <c r="N555" s="1077">
        <v>0</v>
      </c>
      <c r="O555" s="1078">
        <v>6</v>
      </c>
      <c r="P555" s="1089">
        <f t="shared" si="17"/>
        <v>16800</v>
      </c>
    </row>
    <row r="556" spans="1:16" ht="15" x14ac:dyDescent="0.2">
      <c r="A556" s="1077" t="s">
        <v>2333</v>
      </c>
      <c r="B556" s="1078" t="s">
        <v>2334</v>
      </c>
      <c r="C556" s="1079" t="s">
        <v>1444</v>
      </c>
      <c r="D556" s="1080" t="s">
        <v>2344</v>
      </c>
      <c r="E556" s="1081">
        <v>1200</v>
      </c>
      <c r="F556" s="1082">
        <v>42881247</v>
      </c>
      <c r="G556" s="1083" t="s">
        <v>2414</v>
      </c>
      <c r="H556" s="1083" t="s">
        <v>904</v>
      </c>
      <c r="I556" s="1084" t="s">
        <v>2338</v>
      </c>
      <c r="J556" s="1085" t="s">
        <v>904</v>
      </c>
      <c r="K556" s="1086">
        <v>0</v>
      </c>
      <c r="L556" s="1087">
        <v>12</v>
      </c>
      <c r="M556" s="1088">
        <f t="shared" si="16"/>
        <v>14400</v>
      </c>
      <c r="N556" s="1077">
        <v>0</v>
      </c>
      <c r="O556" s="1078">
        <v>6</v>
      </c>
      <c r="P556" s="1089">
        <f t="shared" si="17"/>
        <v>7200</v>
      </c>
    </row>
    <row r="557" spans="1:16" ht="15" x14ac:dyDescent="0.2">
      <c r="A557" s="1077" t="s">
        <v>2333</v>
      </c>
      <c r="B557" s="1078" t="s">
        <v>2334</v>
      </c>
      <c r="C557" s="1079" t="s">
        <v>1444</v>
      </c>
      <c r="D557" s="1080" t="s">
        <v>2415</v>
      </c>
      <c r="E557" s="1081">
        <v>1200</v>
      </c>
      <c r="F557" s="1082">
        <v>7303672</v>
      </c>
      <c r="G557" s="1083" t="s">
        <v>2416</v>
      </c>
      <c r="H557" s="1083" t="s">
        <v>904</v>
      </c>
      <c r="I557" s="1084" t="s">
        <v>2338</v>
      </c>
      <c r="J557" s="1085" t="s">
        <v>904</v>
      </c>
      <c r="K557" s="1086">
        <v>0</v>
      </c>
      <c r="L557" s="1087">
        <v>12</v>
      </c>
      <c r="M557" s="1088">
        <f t="shared" si="16"/>
        <v>14400</v>
      </c>
      <c r="N557" s="1077">
        <v>0</v>
      </c>
      <c r="O557" s="1078">
        <v>6</v>
      </c>
      <c r="P557" s="1089">
        <f t="shared" si="17"/>
        <v>7200</v>
      </c>
    </row>
    <row r="558" spans="1:16" ht="15" x14ac:dyDescent="0.2">
      <c r="A558" s="1077" t="s">
        <v>2333</v>
      </c>
      <c r="B558" s="1078" t="s">
        <v>2334</v>
      </c>
      <c r="C558" s="1079" t="s">
        <v>1444</v>
      </c>
      <c r="D558" s="1080" t="s">
        <v>1834</v>
      </c>
      <c r="E558" s="1081">
        <v>5500</v>
      </c>
      <c r="F558" s="1091">
        <v>42025360</v>
      </c>
      <c r="G558" s="1083" t="s">
        <v>2417</v>
      </c>
      <c r="H558" s="1083" t="s">
        <v>2418</v>
      </c>
      <c r="I558" s="1084" t="s">
        <v>2338</v>
      </c>
      <c r="J558" s="1085" t="s">
        <v>2418</v>
      </c>
      <c r="K558" s="1086">
        <v>0</v>
      </c>
      <c r="L558" s="1087">
        <v>12</v>
      </c>
      <c r="M558" s="1088">
        <f t="shared" si="16"/>
        <v>66000</v>
      </c>
      <c r="N558" s="1077">
        <v>0</v>
      </c>
      <c r="O558" s="1078">
        <v>6</v>
      </c>
      <c r="P558" s="1089">
        <f t="shared" si="17"/>
        <v>33000</v>
      </c>
    </row>
    <row r="559" spans="1:16" ht="15" x14ac:dyDescent="0.2">
      <c r="A559" s="1077" t="s">
        <v>2333</v>
      </c>
      <c r="B559" s="1078" t="s">
        <v>2334</v>
      </c>
      <c r="C559" s="1079" t="s">
        <v>1444</v>
      </c>
      <c r="D559" s="1080" t="s">
        <v>2348</v>
      </c>
      <c r="E559" s="1081">
        <v>2800</v>
      </c>
      <c r="F559" s="1082">
        <v>70432991</v>
      </c>
      <c r="G559" s="1083" t="s">
        <v>2419</v>
      </c>
      <c r="H559" s="1083" t="s">
        <v>2350</v>
      </c>
      <c r="I559" s="1084" t="s">
        <v>2338</v>
      </c>
      <c r="J559" s="1085" t="s">
        <v>2350</v>
      </c>
      <c r="K559" s="1086">
        <v>0</v>
      </c>
      <c r="L559" s="1087">
        <v>12</v>
      </c>
      <c r="M559" s="1088">
        <f t="shared" si="16"/>
        <v>33600</v>
      </c>
      <c r="N559" s="1077">
        <v>0</v>
      </c>
      <c r="O559" s="1078">
        <v>6</v>
      </c>
      <c r="P559" s="1089">
        <f t="shared" si="17"/>
        <v>16800</v>
      </c>
    </row>
    <row r="560" spans="1:16" ht="15" x14ac:dyDescent="0.2">
      <c r="A560" s="1077" t="s">
        <v>2333</v>
      </c>
      <c r="B560" s="1078" t="s">
        <v>2334</v>
      </c>
      <c r="C560" s="1079" t="s">
        <v>1444</v>
      </c>
      <c r="D560" s="1080" t="s">
        <v>2420</v>
      </c>
      <c r="E560" s="1081">
        <v>1700</v>
      </c>
      <c r="F560" s="1082">
        <v>25772285</v>
      </c>
      <c r="G560" s="1083" t="s">
        <v>2421</v>
      </c>
      <c r="H560" s="1083" t="s">
        <v>545</v>
      </c>
      <c r="I560" s="1084" t="s">
        <v>2338</v>
      </c>
      <c r="J560" s="1085" t="s">
        <v>545</v>
      </c>
      <c r="K560" s="1086">
        <v>0</v>
      </c>
      <c r="L560" s="1087">
        <v>12</v>
      </c>
      <c r="M560" s="1088">
        <f t="shared" si="16"/>
        <v>20400</v>
      </c>
      <c r="N560" s="1077">
        <v>0</v>
      </c>
      <c r="O560" s="1078">
        <v>6</v>
      </c>
      <c r="P560" s="1089">
        <f t="shared" si="17"/>
        <v>10200</v>
      </c>
    </row>
    <row r="561" spans="1:16" ht="15" x14ac:dyDescent="0.2">
      <c r="A561" s="1077" t="s">
        <v>2333</v>
      </c>
      <c r="B561" s="1078" t="s">
        <v>2334</v>
      </c>
      <c r="C561" s="1079" t="s">
        <v>1444</v>
      </c>
      <c r="D561" s="1080" t="s">
        <v>2396</v>
      </c>
      <c r="E561" s="1081">
        <v>2800</v>
      </c>
      <c r="F561" s="1082">
        <v>9671183</v>
      </c>
      <c r="G561" s="1083" t="s">
        <v>2422</v>
      </c>
      <c r="H561" s="1083" t="s">
        <v>2423</v>
      </c>
      <c r="I561" s="1084" t="s">
        <v>2338</v>
      </c>
      <c r="J561" s="1085" t="s">
        <v>2423</v>
      </c>
      <c r="K561" s="1086">
        <v>0</v>
      </c>
      <c r="L561" s="1087">
        <v>12</v>
      </c>
      <c r="M561" s="1088">
        <f t="shared" si="16"/>
        <v>33600</v>
      </c>
      <c r="N561" s="1077">
        <v>0</v>
      </c>
      <c r="O561" s="1078">
        <v>6</v>
      </c>
      <c r="P561" s="1089">
        <f t="shared" si="17"/>
        <v>16800</v>
      </c>
    </row>
    <row r="562" spans="1:16" ht="15" x14ac:dyDescent="0.2">
      <c r="A562" s="1077" t="s">
        <v>2333</v>
      </c>
      <c r="B562" s="1078" t="s">
        <v>2334</v>
      </c>
      <c r="C562" s="1079" t="s">
        <v>1444</v>
      </c>
      <c r="D562" s="1080" t="s">
        <v>2424</v>
      </c>
      <c r="E562" s="1081">
        <v>2500</v>
      </c>
      <c r="F562" s="1082">
        <v>10342317</v>
      </c>
      <c r="G562" s="1083" t="s">
        <v>2425</v>
      </c>
      <c r="H562" s="1083" t="s">
        <v>613</v>
      </c>
      <c r="I562" s="1084" t="s">
        <v>2338</v>
      </c>
      <c r="J562" s="1085" t="s">
        <v>613</v>
      </c>
      <c r="K562" s="1086">
        <v>0</v>
      </c>
      <c r="L562" s="1087">
        <v>12</v>
      </c>
      <c r="M562" s="1088">
        <f t="shared" si="16"/>
        <v>30000</v>
      </c>
      <c r="N562" s="1077">
        <v>0</v>
      </c>
      <c r="O562" s="1078">
        <v>6</v>
      </c>
      <c r="P562" s="1089">
        <f t="shared" si="17"/>
        <v>15000</v>
      </c>
    </row>
    <row r="563" spans="1:16" ht="15" x14ac:dyDescent="0.2">
      <c r="A563" s="1077" t="s">
        <v>2333</v>
      </c>
      <c r="B563" s="1078" t="s">
        <v>2334</v>
      </c>
      <c r="C563" s="1079" t="s">
        <v>1444</v>
      </c>
      <c r="D563" s="1080" t="s">
        <v>2358</v>
      </c>
      <c r="E563" s="1081">
        <v>1300</v>
      </c>
      <c r="F563" s="1082">
        <v>40560262</v>
      </c>
      <c r="G563" s="1083" t="s">
        <v>2426</v>
      </c>
      <c r="H563" s="1083" t="s">
        <v>904</v>
      </c>
      <c r="I563" s="1084" t="s">
        <v>2338</v>
      </c>
      <c r="J563" s="1085" t="s">
        <v>904</v>
      </c>
      <c r="K563" s="1086">
        <v>0</v>
      </c>
      <c r="L563" s="1087">
        <v>12</v>
      </c>
      <c r="M563" s="1088">
        <f t="shared" si="16"/>
        <v>15600</v>
      </c>
      <c r="N563" s="1077">
        <v>0</v>
      </c>
      <c r="O563" s="1078">
        <v>6</v>
      </c>
      <c r="P563" s="1089">
        <f t="shared" si="17"/>
        <v>7800</v>
      </c>
    </row>
    <row r="564" spans="1:16" ht="15" x14ac:dyDescent="0.2">
      <c r="A564" s="1077" t="s">
        <v>2333</v>
      </c>
      <c r="B564" s="1078" t="s">
        <v>2334</v>
      </c>
      <c r="C564" s="1079" t="s">
        <v>1444</v>
      </c>
      <c r="D564" s="1080" t="s">
        <v>2356</v>
      </c>
      <c r="E564" s="1081">
        <v>2500</v>
      </c>
      <c r="F564" s="1082">
        <v>43732035</v>
      </c>
      <c r="G564" s="1083" t="s">
        <v>2427</v>
      </c>
      <c r="H564" s="1083" t="s">
        <v>545</v>
      </c>
      <c r="I564" s="1084" t="s">
        <v>2338</v>
      </c>
      <c r="J564" s="1085" t="s">
        <v>545</v>
      </c>
      <c r="K564" s="1086">
        <v>0</v>
      </c>
      <c r="L564" s="1087">
        <v>12</v>
      </c>
      <c r="M564" s="1088">
        <f t="shared" si="16"/>
        <v>30000</v>
      </c>
      <c r="N564" s="1077">
        <v>0</v>
      </c>
      <c r="O564" s="1078">
        <v>6</v>
      </c>
      <c r="P564" s="1089">
        <f t="shared" si="17"/>
        <v>15000</v>
      </c>
    </row>
    <row r="565" spans="1:16" ht="15" x14ac:dyDescent="0.2">
      <c r="A565" s="1077" t="s">
        <v>2333</v>
      </c>
      <c r="B565" s="1078" t="s">
        <v>2334</v>
      </c>
      <c r="C565" s="1079" t="s">
        <v>1444</v>
      </c>
      <c r="D565" s="1080" t="s">
        <v>2428</v>
      </c>
      <c r="E565" s="1081">
        <v>1100</v>
      </c>
      <c r="F565" s="1082">
        <v>25797979</v>
      </c>
      <c r="G565" s="1083" t="s">
        <v>2429</v>
      </c>
      <c r="H565" s="1083" t="s">
        <v>2430</v>
      </c>
      <c r="I565" s="1084" t="s">
        <v>2338</v>
      </c>
      <c r="J565" s="1085" t="s">
        <v>2430</v>
      </c>
      <c r="K565" s="1086">
        <v>0</v>
      </c>
      <c r="L565" s="1087">
        <v>12</v>
      </c>
      <c r="M565" s="1088">
        <f t="shared" si="16"/>
        <v>13200</v>
      </c>
      <c r="N565" s="1077">
        <v>0</v>
      </c>
      <c r="O565" s="1078">
        <v>6</v>
      </c>
      <c r="P565" s="1089">
        <f t="shared" si="17"/>
        <v>6600</v>
      </c>
    </row>
    <row r="566" spans="1:16" ht="15" x14ac:dyDescent="0.2">
      <c r="A566" s="1077" t="s">
        <v>2333</v>
      </c>
      <c r="B566" s="1078" t="s">
        <v>2334</v>
      </c>
      <c r="C566" s="1079" t="s">
        <v>1444</v>
      </c>
      <c r="D566" s="1080" t="s">
        <v>2431</v>
      </c>
      <c r="E566" s="1081">
        <v>1400</v>
      </c>
      <c r="F566" s="1082">
        <v>25721048</v>
      </c>
      <c r="G566" s="1083" t="s">
        <v>2432</v>
      </c>
      <c r="H566" s="1083" t="s">
        <v>1651</v>
      </c>
      <c r="I566" s="1084" t="s">
        <v>2338</v>
      </c>
      <c r="J566" s="1085" t="s">
        <v>1651</v>
      </c>
      <c r="K566" s="1086">
        <v>0</v>
      </c>
      <c r="L566" s="1087">
        <v>12</v>
      </c>
      <c r="M566" s="1088">
        <f t="shared" si="16"/>
        <v>16800</v>
      </c>
      <c r="N566" s="1077">
        <v>0</v>
      </c>
      <c r="O566" s="1078">
        <v>6</v>
      </c>
      <c r="P566" s="1089">
        <f t="shared" si="17"/>
        <v>8400</v>
      </c>
    </row>
    <row r="567" spans="1:16" ht="15" x14ac:dyDescent="0.2">
      <c r="A567" s="1077" t="s">
        <v>2333</v>
      </c>
      <c r="B567" s="1078" t="s">
        <v>2334</v>
      </c>
      <c r="C567" s="1079" t="s">
        <v>1444</v>
      </c>
      <c r="D567" s="1080" t="s">
        <v>2339</v>
      </c>
      <c r="E567" s="1081">
        <v>1100</v>
      </c>
      <c r="F567" s="1082">
        <v>10400813</v>
      </c>
      <c r="G567" s="1083" t="s">
        <v>2433</v>
      </c>
      <c r="H567" s="1083" t="s">
        <v>904</v>
      </c>
      <c r="I567" s="1084" t="s">
        <v>2338</v>
      </c>
      <c r="J567" s="1085" t="s">
        <v>904</v>
      </c>
      <c r="K567" s="1086">
        <v>0</v>
      </c>
      <c r="L567" s="1087">
        <v>12</v>
      </c>
      <c r="M567" s="1088">
        <f t="shared" si="16"/>
        <v>13200</v>
      </c>
      <c r="N567" s="1077">
        <v>0</v>
      </c>
      <c r="O567" s="1078">
        <v>6</v>
      </c>
      <c r="P567" s="1089">
        <f t="shared" si="17"/>
        <v>6600</v>
      </c>
    </row>
    <row r="568" spans="1:16" ht="15" x14ac:dyDescent="0.2">
      <c r="A568" s="1077" t="s">
        <v>2333</v>
      </c>
      <c r="B568" s="1078" t="s">
        <v>2334</v>
      </c>
      <c r="C568" s="1079" t="s">
        <v>1444</v>
      </c>
      <c r="D568" s="1080" t="s">
        <v>2348</v>
      </c>
      <c r="E568" s="1081">
        <v>2300</v>
      </c>
      <c r="F568" s="1082">
        <v>46509893</v>
      </c>
      <c r="G568" s="1083" t="s">
        <v>2434</v>
      </c>
      <c r="H568" s="1083" t="s">
        <v>2350</v>
      </c>
      <c r="I568" s="1084" t="s">
        <v>2338</v>
      </c>
      <c r="J568" s="1085" t="s">
        <v>2350</v>
      </c>
      <c r="K568" s="1086">
        <v>0</v>
      </c>
      <c r="L568" s="1087">
        <v>12</v>
      </c>
      <c r="M568" s="1088">
        <f t="shared" si="16"/>
        <v>27600</v>
      </c>
      <c r="N568" s="1077">
        <v>0</v>
      </c>
      <c r="O568" s="1078">
        <v>6</v>
      </c>
      <c r="P568" s="1089">
        <f t="shared" si="17"/>
        <v>13800</v>
      </c>
    </row>
    <row r="569" spans="1:16" ht="15" x14ac:dyDescent="0.2">
      <c r="A569" s="1077" t="s">
        <v>2333</v>
      </c>
      <c r="B569" s="1078" t="s">
        <v>2334</v>
      </c>
      <c r="C569" s="1079" t="s">
        <v>1444</v>
      </c>
      <c r="D569" s="1080" t="s">
        <v>2387</v>
      </c>
      <c r="E569" s="1081">
        <v>1100</v>
      </c>
      <c r="F569" s="1082">
        <v>25819810</v>
      </c>
      <c r="G569" s="1083" t="s">
        <v>2435</v>
      </c>
      <c r="H569" s="1083" t="s">
        <v>904</v>
      </c>
      <c r="I569" s="1084" t="s">
        <v>2338</v>
      </c>
      <c r="J569" s="1085" t="s">
        <v>904</v>
      </c>
      <c r="K569" s="1086">
        <v>0</v>
      </c>
      <c r="L569" s="1087">
        <v>12</v>
      </c>
      <c r="M569" s="1088">
        <f t="shared" si="16"/>
        <v>13200</v>
      </c>
      <c r="N569" s="1077">
        <v>0</v>
      </c>
      <c r="O569" s="1078">
        <v>6</v>
      </c>
      <c r="P569" s="1089">
        <f t="shared" si="17"/>
        <v>6600</v>
      </c>
    </row>
    <row r="570" spans="1:16" ht="15" x14ac:dyDescent="0.2">
      <c r="A570" s="1077" t="s">
        <v>2333</v>
      </c>
      <c r="B570" s="1078" t="s">
        <v>2334</v>
      </c>
      <c r="C570" s="1079" t="s">
        <v>1444</v>
      </c>
      <c r="D570" s="1090" t="s">
        <v>2436</v>
      </c>
      <c r="E570" s="1081">
        <v>2800</v>
      </c>
      <c r="F570" s="1082">
        <v>41232067</v>
      </c>
      <c r="G570" s="1083" t="s">
        <v>2437</v>
      </c>
      <c r="H570" s="1092" t="s">
        <v>2438</v>
      </c>
      <c r="I570" s="1084" t="s">
        <v>2338</v>
      </c>
      <c r="J570" s="1093" t="s">
        <v>2438</v>
      </c>
      <c r="K570" s="1086">
        <v>0</v>
      </c>
      <c r="L570" s="1087">
        <v>12</v>
      </c>
      <c r="M570" s="1088">
        <f t="shared" si="16"/>
        <v>33600</v>
      </c>
      <c r="N570" s="1077">
        <v>0</v>
      </c>
      <c r="O570" s="1078">
        <v>6</v>
      </c>
      <c r="P570" s="1089">
        <f t="shared" si="17"/>
        <v>16800</v>
      </c>
    </row>
    <row r="571" spans="1:16" ht="15" x14ac:dyDescent="0.2">
      <c r="A571" s="1077" t="s">
        <v>2333</v>
      </c>
      <c r="B571" s="1078" t="s">
        <v>2334</v>
      </c>
      <c r="C571" s="1079" t="s">
        <v>1444</v>
      </c>
      <c r="D571" s="1080" t="s">
        <v>2392</v>
      </c>
      <c r="E571" s="1081">
        <v>1100</v>
      </c>
      <c r="F571" s="1082">
        <v>41870430</v>
      </c>
      <c r="G571" s="1083" t="s">
        <v>2439</v>
      </c>
      <c r="H571" s="1083" t="s">
        <v>2368</v>
      </c>
      <c r="I571" s="1084" t="s">
        <v>2338</v>
      </c>
      <c r="J571" s="1085" t="s">
        <v>2368</v>
      </c>
      <c r="K571" s="1086">
        <v>0</v>
      </c>
      <c r="L571" s="1087">
        <v>12</v>
      </c>
      <c r="M571" s="1088">
        <f t="shared" si="16"/>
        <v>13200</v>
      </c>
      <c r="N571" s="1077">
        <v>0</v>
      </c>
      <c r="O571" s="1078">
        <v>6</v>
      </c>
      <c r="P571" s="1089">
        <f t="shared" si="17"/>
        <v>6600</v>
      </c>
    </row>
    <row r="572" spans="1:16" ht="15" x14ac:dyDescent="0.2">
      <c r="A572" s="1077" t="s">
        <v>2333</v>
      </c>
      <c r="B572" s="1078" t="s">
        <v>2334</v>
      </c>
      <c r="C572" s="1079" t="s">
        <v>1444</v>
      </c>
      <c r="D572" s="1080" t="s">
        <v>2360</v>
      </c>
      <c r="E572" s="1081">
        <v>2000</v>
      </c>
      <c r="F572" s="1082">
        <v>42757437</v>
      </c>
      <c r="G572" s="1083" t="s">
        <v>2440</v>
      </c>
      <c r="H572" s="1083" t="s">
        <v>613</v>
      </c>
      <c r="I572" s="1084" t="s">
        <v>2338</v>
      </c>
      <c r="J572" s="1085" t="s">
        <v>613</v>
      </c>
      <c r="K572" s="1086">
        <v>0</v>
      </c>
      <c r="L572" s="1087">
        <v>12</v>
      </c>
      <c r="M572" s="1088">
        <f t="shared" si="16"/>
        <v>24000</v>
      </c>
      <c r="N572" s="1077">
        <v>0</v>
      </c>
      <c r="O572" s="1078">
        <v>6</v>
      </c>
      <c r="P572" s="1089">
        <f t="shared" si="17"/>
        <v>12000</v>
      </c>
    </row>
    <row r="573" spans="1:16" ht="15" x14ac:dyDescent="0.2">
      <c r="A573" s="1077" t="s">
        <v>2333</v>
      </c>
      <c r="B573" s="1078" t="s">
        <v>2334</v>
      </c>
      <c r="C573" s="1079" t="s">
        <v>1444</v>
      </c>
      <c r="D573" s="1080" t="s">
        <v>2335</v>
      </c>
      <c r="E573" s="1081">
        <v>1400</v>
      </c>
      <c r="F573" s="1082">
        <v>46492389</v>
      </c>
      <c r="G573" s="1083" t="s">
        <v>2441</v>
      </c>
      <c r="H573" s="1083" t="s">
        <v>1651</v>
      </c>
      <c r="I573" s="1084" t="s">
        <v>2338</v>
      </c>
      <c r="J573" s="1085" t="s">
        <v>1651</v>
      </c>
      <c r="K573" s="1086">
        <v>0</v>
      </c>
      <c r="L573" s="1087">
        <v>12</v>
      </c>
      <c r="M573" s="1088">
        <f t="shared" si="16"/>
        <v>16800</v>
      </c>
      <c r="N573" s="1077">
        <v>0</v>
      </c>
      <c r="O573" s="1078">
        <v>6</v>
      </c>
      <c r="P573" s="1089">
        <f t="shared" si="17"/>
        <v>8400</v>
      </c>
    </row>
    <row r="574" spans="1:16" ht="15" x14ac:dyDescent="0.2">
      <c r="A574" s="1077" t="s">
        <v>2333</v>
      </c>
      <c r="B574" s="1078" t="s">
        <v>2334</v>
      </c>
      <c r="C574" s="1079" t="s">
        <v>1444</v>
      </c>
      <c r="D574" s="1080" t="s">
        <v>2442</v>
      </c>
      <c r="E574" s="1081">
        <v>1700</v>
      </c>
      <c r="F574" s="1082">
        <v>25723581</v>
      </c>
      <c r="G574" s="1083" t="s">
        <v>2443</v>
      </c>
      <c r="H574" s="1083" t="s">
        <v>904</v>
      </c>
      <c r="I574" s="1084" t="s">
        <v>2338</v>
      </c>
      <c r="J574" s="1085" t="s">
        <v>904</v>
      </c>
      <c r="K574" s="1086">
        <v>0</v>
      </c>
      <c r="L574" s="1087">
        <v>12</v>
      </c>
      <c r="M574" s="1088">
        <f t="shared" si="16"/>
        <v>20400</v>
      </c>
      <c r="N574" s="1077">
        <v>0</v>
      </c>
      <c r="O574" s="1078">
        <v>6</v>
      </c>
      <c r="P574" s="1089">
        <f t="shared" si="17"/>
        <v>10200</v>
      </c>
    </row>
    <row r="575" spans="1:16" ht="15" x14ac:dyDescent="0.2">
      <c r="A575" s="1077" t="s">
        <v>2333</v>
      </c>
      <c r="B575" s="1078" t="s">
        <v>2334</v>
      </c>
      <c r="C575" s="1079" t="s">
        <v>1444</v>
      </c>
      <c r="D575" s="1080" t="s">
        <v>2442</v>
      </c>
      <c r="E575" s="1081">
        <v>1700</v>
      </c>
      <c r="F575" s="1082">
        <v>40940862</v>
      </c>
      <c r="G575" s="1083" t="s">
        <v>2444</v>
      </c>
      <c r="H575" s="1083" t="s">
        <v>613</v>
      </c>
      <c r="I575" s="1084" t="s">
        <v>2338</v>
      </c>
      <c r="J575" s="1085" t="s">
        <v>613</v>
      </c>
      <c r="K575" s="1086">
        <v>0</v>
      </c>
      <c r="L575" s="1087">
        <v>12</v>
      </c>
      <c r="M575" s="1088">
        <f t="shared" si="16"/>
        <v>20400</v>
      </c>
      <c r="N575" s="1077">
        <v>0</v>
      </c>
      <c r="O575" s="1078">
        <v>6</v>
      </c>
      <c r="P575" s="1089">
        <f t="shared" si="17"/>
        <v>10200</v>
      </c>
    </row>
    <row r="576" spans="1:16" ht="15" x14ac:dyDescent="0.2">
      <c r="A576" s="1077" t="s">
        <v>2333</v>
      </c>
      <c r="B576" s="1078" t="s">
        <v>2334</v>
      </c>
      <c r="C576" s="1079" t="s">
        <v>1444</v>
      </c>
      <c r="D576" s="1080" t="s">
        <v>2351</v>
      </c>
      <c r="E576" s="1081">
        <v>1100</v>
      </c>
      <c r="F576" s="1082">
        <v>47583008</v>
      </c>
      <c r="G576" s="1083" t="s">
        <v>2445</v>
      </c>
      <c r="H576" s="1083" t="s">
        <v>2353</v>
      </c>
      <c r="I576" s="1084" t="s">
        <v>2338</v>
      </c>
      <c r="J576" s="1085" t="s">
        <v>2353</v>
      </c>
      <c r="K576" s="1086">
        <v>0</v>
      </c>
      <c r="L576" s="1087">
        <v>12</v>
      </c>
      <c r="M576" s="1088">
        <f t="shared" si="16"/>
        <v>13200</v>
      </c>
      <c r="N576" s="1077">
        <v>0</v>
      </c>
      <c r="O576" s="1078">
        <v>6</v>
      </c>
      <c r="P576" s="1089">
        <f t="shared" si="17"/>
        <v>6600</v>
      </c>
    </row>
    <row r="577" spans="1:16" ht="15" x14ac:dyDescent="0.2">
      <c r="A577" s="1077" t="s">
        <v>2333</v>
      </c>
      <c r="B577" s="1078" t="s">
        <v>2334</v>
      </c>
      <c r="C577" s="1079" t="s">
        <v>1444</v>
      </c>
      <c r="D577" s="1080" t="s">
        <v>2344</v>
      </c>
      <c r="E577" s="1081">
        <v>1400</v>
      </c>
      <c r="F577" s="1082">
        <v>43878420</v>
      </c>
      <c r="G577" s="1083" t="s">
        <v>2446</v>
      </c>
      <c r="H577" s="1083" t="s">
        <v>1716</v>
      </c>
      <c r="I577" s="1084" t="s">
        <v>2338</v>
      </c>
      <c r="J577" s="1085" t="s">
        <v>1716</v>
      </c>
      <c r="K577" s="1086">
        <v>0</v>
      </c>
      <c r="L577" s="1087">
        <v>12</v>
      </c>
      <c r="M577" s="1088">
        <f t="shared" si="16"/>
        <v>16800</v>
      </c>
      <c r="N577" s="1077">
        <v>0</v>
      </c>
      <c r="O577" s="1078">
        <v>6</v>
      </c>
      <c r="P577" s="1089">
        <f t="shared" si="17"/>
        <v>8400</v>
      </c>
    </row>
    <row r="578" spans="1:16" ht="15" x14ac:dyDescent="0.2">
      <c r="A578" s="1077" t="s">
        <v>2333</v>
      </c>
      <c r="B578" s="1078" t="s">
        <v>2334</v>
      </c>
      <c r="C578" s="1079" t="s">
        <v>1444</v>
      </c>
      <c r="D578" s="1080" t="s">
        <v>2447</v>
      </c>
      <c r="E578" s="1081">
        <v>1200</v>
      </c>
      <c r="F578" s="1082">
        <v>10427632</v>
      </c>
      <c r="G578" s="1083" t="s">
        <v>2448</v>
      </c>
      <c r="H578" s="1083" t="s">
        <v>904</v>
      </c>
      <c r="I578" s="1084" t="s">
        <v>2338</v>
      </c>
      <c r="J578" s="1085" t="s">
        <v>904</v>
      </c>
      <c r="K578" s="1086">
        <v>0</v>
      </c>
      <c r="L578" s="1087">
        <v>12</v>
      </c>
      <c r="M578" s="1088">
        <f t="shared" ref="M578:M641" si="18">L578*E578</f>
        <v>14400</v>
      </c>
      <c r="N578" s="1077">
        <v>0</v>
      </c>
      <c r="O578" s="1078">
        <v>6</v>
      </c>
      <c r="P578" s="1089">
        <f t="shared" ref="P578:P641" si="19">O578*E578</f>
        <v>7200</v>
      </c>
    </row>
    <row r="579" spans="1:16" ht="30" x14ac:dyDescent="0.2">
      <c r="A579" s="1077" t="s">
        <v>2333</v>
      </c>
      <c r="B579" s="1078" t="s">
        <v>2334</v>
      </c>
      <c r="C579" s="1079" t="s">
        <v>1444</v>
      </c>
      <c r="D579" s="1090" t="s">
        <v>2436</v>
      </c>
      <c r="E579" s="1081">
        <v>1400</v>
      </c>
      <c r="F579" s="1082">
        <v>42736964</v>
      </c>
      <c r="G579" s="1083" t="s">
        <v>2449</v>
      </c>
      <c r="H579" s="1092" t="s">
        <v>1651</v>
      </c>
      <c r="I579" s="1084" t="s">
        <v>2338</v>
      </c>
      <c r="J579" s="1093" t="s">
        <v>1651</v>
      </c>
      <c r="K579" s="1086">
        <v>0</v>
      </c>
      <c r="L579" s="1087">
        <v>12</v>
      </c>
      <c r="M579" s="1088">
        <f t="shared" si="18"/>
        <v>16800</v>
      </c>
      <c r="N579" s="1077">
        <v>0</v>
      </c>
      <c r="O579" s="1078">
        <v>6</v>
      </c>
      <c r="P579" s="1089">
        <f t="shared" si="19"/>
        <v>8400</v>
      </c>
    </row>
    <row r="580" spans="1:16" ht="15" x14ac:dyDescent="0.2">
      <c r="A580" s="1077" t="s">
        <v>2333</v>
      </c>
      <c r="B580" s="1078" t="s">
        <v>2334</v>
      </c>
      <c r="C580" s="1079" t="s">
        <v>1444</v>
      </c>
      <c r="D580" s="1080" t="s">
        <v>2348</v>
      </c>
      <c r="E580" s="1081">
        <v>2300</v>
      </c>
      <c r="F580" s="1082">
        <v>9921712</v>
      </c>
      <c r="G580" s="1083" t="s">
        <v>2450</v>
      </c>
      <c r="H580" s="1083" t="s">
        <v>2350</v>
      </c>
      <c r="I580" s="1084" t="s">
        <v>2338</v>
      </c>
      <c r="J580" s="1085" t="s">
        <v>2350</v>
      </c>
      <c r="K580" s="1086">
        <v>0</v>
      </c>
      <c r="L580" s="1087">
        <v>12</v>
      </c>
      <c r="M580" s="1088">
        <f t="shared" si="18"/>
        <v>27600</v>
      </c>
      <c r="N580" s="1077">
        <v>0</v>
      </c>
      <c r="O580" s="1078">
        <v>6</v>
      </c>
      <c r="P580" s="1089">
        <f t="shared" si="19"/>
        <v>13800</v>
      </c>
    </row>
    <row r="581" spans="1:16" ht="15" x14ac:dyDescent="0.2">
      <c r="A581" s="1077" t="s">
        <v>2333</v>
      </c>
      <c r="B581" s="1078" t="s">
        <v>2334</v>
      </c>
      <c r="C581" s="1079" t="s">
        <v>1444</v>
      </c>
      <c r="D581" s="1080" t="s">
        <v>2451</v>
      </c>
      <c r="E581" s="1081">
        <v>1800</v>
      </c>
      <c r="F581" s="1082">
        <v>42248993</v>
      </c>
      <c r="G581" s="1083" t="s">
        <v>2452</v>
      </c>
      <c r="H581" s="1083" t="s">
        <v>625</v>
      </c>
      <c r="I581" s="1084" t="s">
        <v>2338</v>
      </c>
      <c r="J581" s="1085" t="s">
        <v>625</v>
      </c>
      <c r="K581" s="1086">
        <v>0</v>
      </c>
      <c r="L581" s="1087">
        <v>12</v>
      </c>
      <c r="M581" s="1088">
        <f t="shared" si="18"/>
        <v>21600</v>
      </c>
      <c r="N581" s="1077">
        <v>0</v>
      </c>
      <c r="O581" s="1078">
        <v>6</v>
      </c>
      <c r="P581" s="1089">
        <f t="shared" si="19"/>
        <v>10800</v>
      </c>
    </row>
    <row r="582" spans="1:16" ht="15" x14ac:dyDescent="0.2">
      <c r="A582" s="1077" t="s">
        <v>2333</v>
      </c>
      <c r="B582" s="1078" t="s">
        <v>2334</v>
      </c>
      <c r="C582" s="1079" t="s">
        <v>1444</v>
      </c>
      <c r="D582" s="1080" t="s">
        <v>2335</v>
      </c>
      <c r="E582" s="1081">
        <v>1400</v>
      </c>
      <c r="F582" s="1082">
        <v>41528224</v>
      </c>
      <c r="G582" s="1083" t="s">
        <v>2453</v>
      </c>
      <c r="H582" s="1083" t="s">
        <v>1651</v>
      </c>
      <c r="I582" s="1084" t="s">
        <v>2338</v>
      </c>
      <c r="J582" s="1085" t="s">
        <v>1651</v>
      </c>
      <c r="K582" s="1086">
        <v>0</v>
      </c>
      <c r="L582" s="1087">
        <v>12</v>
      </c>
      <c r="M582" s="1088">
        <f t="shared" si="18"/>
        <v>16800</v>
      </c>
      <c r="N582" s="1077">
        <v>0</v>
      </c>
      <c r="O582" s="1078">
        <v>6</v>
      </c>
      <c r="P582" s="1089">
        <f t="shared" si="19"/>
        <v>8400</v>
      </c>
    </row>
    <row r="583" spans="1:16" ht="30" x14ac:dyDescent="0.2">
      <c r="A583" s="1077" t="s">
        <v>2333</v>
      </c>
      <c r="B583" s="1078" t="s">
        <v>2334</v>
      </c>
      <c r="C583" s="1079" t="s">
        <v>1444</v>
      </c>
      <c r="D583" s="1090" t="s">
        <v>2454</v>
      </c>
      <c r="E583" s="1081">
        <v>5500</v>
      </c>
      <c r="F583" s="1082">
        <v>42193373</v>
      </c>
      <c r="G583" s="1083" t="s">
        <v>2455</v>
      </c>
      <c r="H583" s="1092" t="s">
        <v>2248</v>
      </c>
      <c r="I583" s="1084" t="s">
        <v>2338</v>
      </c>
      <c r="J583" s="1093" t="s">
        <v>2248</v>
      </c>
      <c r="K583" s="1086">
        <v>0</v>
      </c>
      <c r="L583" s="1087">
        <v>12</v>
      </c>
      <c r="M583" s="1088">
        <f t="shared" si="18"/>
        <v>66000</v>
      </c>
      <c r="N583" s="1077">
        <v>0</v>
      </c>
      <c r="O583" s="1078">
        <v>6</v>
      </c>
      <c r="P583" s="1089">
        <f t="shared" si="19"/>
        <v>33000</v>
      </c>
    </row>
    <row r="584" spans="1:16" ht="15" x14ac:dyDescent="0.2">
      <c r="A584" s="1077" t="s">
        <v>2333</v>
      </c>
      <c r="B584" s="1078" t="s">
        <v>2334</v>
      </c>
      <c r="C584" s="1079" t="s">
        <v>1444</v>
      </c>
      <c r="D584" s="1080" t="s">
        <v>2335</v>
      </c>
      <c r="E584" s="1081">
        <v>1400</v>
      </c>
      <c r="F584" s="1082">
        <v>25815081</v>
      </c>
      <c r="G584" s="1083" t="s">
        <v>2456</v>
      </c>
      <c r="H584" s="1083" t="s">
        <v>1651</v>
      </c>
      <c r="I584" s="1084" t="s">
        <v>2338</v>
      </c>
      <c r="J584" s="1085" t="s">
        <v>1651</v>
      </c>
      <c r="K584" s="1086">
        <v>0</v>
      </c>
      <c r="L584" s="1087">
        <v>12</v>
      </c>
      <c r="M584" s="1088">
        <f t="shared" si="18"/>
        <v>16800</v>
      </c>
      <c r="N584" s="1077">
        <v>0</v>
      </c>
      <c r="O584" s="1078">
        <v>6</v>
      </c>
      <c r="P584" s="1089">
        <f t="shared" si="19"/>
        <v>8400</v>
      </c>
    </row>
    <row r="585" spans="1:16" ht="15" x14ac:dyDescent="0.2">
      <c r="A585" s="1077" t="s">
        <v>2333</v>
      </c>
      <c r="B585" s="1078" t="s">
        <v>2334</v>
      </c>
      <c r="C585" s="1079" t="s">
        <v>1444</v>
      </c>
      <c r="D585" s="1080" t="s">
        <v>2457</v>
      </c>
      <c r="E585" s="1081">
        <v>4000</v>
      </c>
      <c r="F585" s="1082">
        <v>25856174</v>
      </c>
      <c r="G585" s="1083" t="s">
        <v>2458</v>
      </c>
      <c r="H585" s="1083" t="s">
        <v>1834</v>
      </c>
      <c r="I585" s="1084" t="s">
        <v>2338</v>
      </c>
      <c r="J585" s="1085" t="s">
        <v>1834</v>
      </c>
      <c r="K585" s="1086">
        <v>0</v>
      </c>
      <c r="L585" s="1087">
        <v>12</v>
      </c>
      <c r="M585" s="1088">
        <f t="shared" si="18"/>
        <v>48000</v>
      </c>
      <c r="N585" s="1077">
        <v>0</v>
      </c>
      <c r="O585" s="1078">
        <v>6</v>
      </c>
      <c r="P585" s="1089">
        <f t="shared" si="19"/>
        <v>24000</v>
      </c>
    </row>
    <row r="586" spans="1:16" ht="15" x14ac:dyDescent="0.2">
      <c r="A586" s="1077" t="s">
        <v>2333</v>
      </c>
      <c r="B586" s="1078" t="s">
        <v>2334</v>
      </c>
      <c r="C586" s="1079" t="s">
        <v>1444</v>
      </c>
      <c r="D586" s="1080" t="s">
        <v>2412</v>
      </c>
      <c r="E586" s="1081">
        <v>1600</v>
      </c>
      <c r="F586" s="1082">
        <v>40865588</v>
      </c>
      <c r="G586" s="1083" t="s">
        <v>2459</v>
      </c>
      <c r="H586" s="1083" t="s">
        <v>2460</v>
      </c>
      <c r="I586" s="1084" t="s">
        <v>2338</v>
      </c>
      <c r="J586" s="1085" t="s">
        <v>2460</v>
      </c>
      <c r="K586" s="1086">
        <v>0</v>
      </c>
      <c r="L586" s="1087">
        <v>12</v>
      </c>
      <c r="M586" s="1088">
        <f t="shared" si="18"/>
        <v>19200</v>
      </c>
      <c r="N586" s="1077">
        <v>0</v>
      </c>
      <c r="O586" s="1078">
        <v>6</v>
      </c>
      <c r="P586" s="1089">
        <f t="shared" si="19"/>
        <v>9600</v>
      </c>
    </row>
    <row r="587" spans="1:16" ht="15" x14ac:dyDescent="0.2">
      <c r="A587" s="1077" t="s">
        <v>2333</v>
      </c>
      <c r="B587" s="1078" t="s">
        <v>2334</v>
      </c>
      <c r="C587" s="1079" t="s">
        <v>1444</v>
      </c>
      <c r="D587" s="1080" t="s">
        <v>2396</v>
      </c>
      <c r="E587" s="1081">
        <v>1400</v>
      </c>
      <c r="F587" s="1082">
        <v>10144778</v>
      </c>
      <c r="G587" s="1083" t="s">
        <v>2461</v>
      </c>
      <c r="H587" s="1083" t="s">
        <v>1651</v>
      </c>
      <c r="I587" s="1084" t="s">
        <v>2338</v>
      </c>
      <c r="J587" s="1085" t="s">
        <v>1651</v>
      </c>
      <c r="K587" s="1086">
        <v>0</v>
      </c>
      <c r="L587" s="1087">
        <v>12</v>
      </c>
      <c r="M587" s="1088">
        <f t="shared" si="18"/>
        <v>16800</v>
      </c>
      <c r="N587" s="1077">
        <v>0</v>
      </c>
      <c r="O587" s="1078">
        <v>6</v>
      </c>
      <c r="P587" s="1089">
        <f t="shared" si="19"/>
        <v>8400</v>
      </c>
    </row>
    <row r="588" spans="1:16" ht="15" x14ac:dyDescent="0.2">
      <c r="A588" s="1077" t="s">
        <v>2333</v>
      </c>
      <c r="B588" s="1078" t="s">
        <v>2334</v>
      </c>
      <c r="C588" s="1079" t="s">
        <v>1444</v>
      </c>
      <c r="D588" s="1080" t="s">
        <v>2406</v>
      </c>
      <c r="E588" s="1081">
        <v>1400</v>
      </c>
      <c r="F588" s="1082">
        <v>46815129</v>
      </c>
      <c r="G588" s="1083" t="s">
        <v>2462</v>
      </c>
      <c r="H588" s="1083" t="s">
        <v>1651</v>
      </c>
      <c r="I588" s="1084" t="s">
        <v>2338</v>
      </c>
      <c r="J588" s="1085" t="s">
        <v>1651</v>
      </c>
      <c r="K588" s="1086">
        <v>0</v>
      </c>
      <c r="L588" s="1087">
        <v>12</v>
      </c>
      <c r="M588" s="1088">
        <f t="shared" si="18"/>
        <v>16800</v>
      </c>
      <c r="N588" s="1077">
        <v>0</v>
      </c>
      <c r="O588" s="1078">
        <v>6</v>
      </c>
      <c r="P588" s="1089">
        <f t="shared" si="19"/>
        <v>8400</v>
      </c>
    </row>
    <row r="589" spans="1:16" ht="15" x14ac:dyDescent="0.2">
      <c r="A589" s="1077" t="s">
        <v>2333</v>
      </c>
      <c r="B589" s="1078" t="s">
        <v>2334</v>
      </c>
      <c r="C589" s="1079" t="s">
        <v>1444</v>
      </c>
      <c r="D589" s="1080" t="s">
        <v>2351</v>
      </c>
      <c r="E589" s="1081">
        <v>1100</v>
      </c>
      <c r="F589" s="1082">
        <v>10046387</v>
      </c>
      <c r="G589" s="1083" t="s">
        <v>2463</v>
      </c>
      <c r="H589" s="1083" t="s">
        <v>2368</v>
      </c>
      <c r="I589" s="1084" t="s">
        <v>2338</v>
      </c>
      <c r="J589" s="1085" t="s">
        <v>2368</v>
      </c>
      <c r="K589" s="1086">
        <v>0</v>
      </c>
      <c r="L589" s="1087">
        <v>12</v>
      </c>
      <c r="M589" s="1088">
        <f t="shared" si="18"/>
        <v>13200</v>
      </c>
      <c r="N589" s="1077">
        <v>0</v>
      </c>
      <c r="O589" s="1078">
        <v>6</v>
      </c>
      <c r="P589" s="1089">
        <f t="shared" si="19"/>
        <v>6600</v>
      </c>
    </row>
    <row r="590" spans="1:16" ht="15" x14ac:dyDescent="0.2">
      <c r="A590" s="1077" t="s">
        <v>2333</v>
      </c>
      <c r="B590" s="1078" t="s">
        <v>2334</v>
      </c>
      <c r="C590" s="1079" t="s">
        <v>1444</v>
      </c>
      <c r="D590" s="1080" t="s">
        <v>2335</v>
      </c>
      <c r="E590" s="1081">
        <v>1400</v>
      </c>
      <c r="F590" s="1082">
        <v>42736234</v>
      </c>
      <c r="G590" s="1083" t="s">
        <v>2464</v>
      </c>
      <c r="H590" s="1083" t="s">
        <v>1651</v>
      </c>
      <c r="I590" s="1084" t="s">
        <v>2338</v>
      </c>
      <c r="J590" s="1085" t="s">
        <v>1651</v>
      </c>
      <c r="K590" s="1086">
        <v>0</v>
      </c>
      <c r="L590" s="1087">
        <v>12</v>
      </c>
      <c r="M590" s="1088">
        <f t="shared" si="18"/>
        <v>16800</v>
      </c>
      <c r="N590" s="1077">
        <v>0</v>
      </c>
      <c r="O590" s="1078">
        <v>6</v>
      </c>
      <c r="P590" s="1089">
        <f t="shared" si="19"/>
        <v>8400</v>
      </c>
    </row>
    <row r="591" spans="1:16" ht="15" x14ac:dyDescent="0.2">
      <c r="A591" s="1077" t="s">
        <v>2333</v>
      </c>
      <c r="B591" s="1078" t="s">
        <v>2334</v>
      </c>
      <c r="C591" s="1079" t="s">
        <v>1444</v>
      </c>
      <c r="D591" s="1080" t="s">
        <v>2465</v>
      </c>
      <c r="E591" s="1081">
        <v>2800</v>
      </c>
      <c r="F591" s="1082">
        <v>25763039</v>
      </c>
      <c r="G591" s="1083" t="s">
        <v>2466</v>
      </c>
      <c r="H591" s="1083" t="s">
        <v>2350</v>
      </c>
      <c r="I591" s="1084" t="s">
        <v>2338</v>
      </c>
      <c r="J591" s="1085" t="s">
        <v>2350</v>
      </c>
      <c r="K591" s="1086">
        <v>0</v>
      </c>
      <c r="L591" s="1087">
        <v>12</v>
      </c>
      <c r="M591" s="1088">
        <f t="shared" si="18"/>
        <v>33600</v>
      </c>
      <c r="N591" s="1077">
        <v>0</v>
      </c>
      <c r="O591" s="1078">
        <v>6</v>
      </c>
      <c r="P591" s="1089">
        <f t="shared" si="19"/>
        <v>16800</v>
      </c>
    </row>
    <row r="592" spans="1:16" ht="15" x14ac:dyDescent="0.2">
      <c r="A592" s="1077" t="s">
        <v>2333</v>
      </c>
      <c r="B592" s="1078" t="s">
        <v>2334</v>
      </c>
      <c r="C592" s="1079" t="s">
        <v>1444</v>
      </c>
      <c r="D592" s="1080" t="s">
        <v>2360</v>
      </c>
      <c r="E592" s="1081">
        <v>1700</v>
      </c>
      <c r="F592" s="1091">
        <v>41863072</v>
      </c>
      <c r="G592" s="1083" t="s">
        <v>2467</v>
      </c>
      <c r="H592" s="1083" t="s">
        <v>2468</v>
      </c>
      <c r="I592" s="1084" t="s">
        <v>2338</v>
      </c>
      <c r="J592" s="1085" t="s">
        <v>2468</v>
      </c>
      <c r="K592" s="1086">
        <v>0</v>
      </c>
      <c r="L592" s="1087">
        <v>12</v>
      </c>
      <c r="M592" s="1088">
        <f t="shared" si="18"/>
        <v>20400</v>
      </c>
      <c r="N592" s="1077">
        <v>0</v>
      </c>
      <c r="O592" s="1078">
        <v>6</v>
      </c>
      <c r="P592" s="1089">
        <f t="shared" si="19"/>
        <v>10200</v>
      </c>
    </row>
    <row r="593" spans="1:16" ht="15" x14ac:dyDescent="0.2">
      <c r="A593" s="1077" t="s">
        <v>2333</v>
      </c>
      <c r="B593" s="1078" t="s">
        <v>2334</v>
      </c>
      <c r="C593" s="1079" t="s">
        <v>1444</v>
      </c>
      <c r="D593" s="1080" t="s">
        <v>1834</v>
      </c>
      <c r="E593" s="1081">
        <v>5000</v>
      </c>
      <c r="F593" s="1082">
        <v>20072418</v>
      </c>
      <c r="G593" s="1083" t="s">
        <v>2469</v>
      </c>
      <c r="H593" s="1083" t="s">
        <v>2470</v>
      </c>
      <c r="I593" s="1084" t="s">
        <v>2338</v>
      </c>
      <c r="J593" s="1085" t="s">
        <v>2470</v>
      </c>
      <c r="K593" s="1086">
        <v>0</v>
      </c>
      <c r="L593" s="1087">
        <v>12</v>
      </c>
      <c r="M593" s="1088">
        <f t="shared" si="18"/>
        <v>60000</v>
      </c>
      <c r="N593" s="1077">
        <v>0</v>
      </c>
      <c r="O593" s="1078">
        <v>6</v>
      </c>
      <c r="P593" s="1089">
        <f t="shared" si="19"/>
        <v>30000</v>
      </c>
    </row>
    <row r="594" spans="1:16" ht="15" x14ac:dyDescent="0.2">
      <c r="A594" s="1077" t="s">
        <v>2333</v>
      </c>
      <c r="B594" s="1078" t="s">
        <v>2334</v>
      </c>
      <c r="C594" s="1079" t="s">
        <v>1444</v>
      </c>
      <c r="D594" s="1080" t="s">
        <v>2424</v>
      </c>
      <c r="E594" s="1081">
        <v>1100</v>
      </c>
      <c r="F594" s="1082">
        <v>7903312</v>
      </c>
      <c r="G594" s="1083" t="s">
        <v>2471</v>
      </c>
      <c r="H594" s="1083" t="s">
        <v>904</v>
      </c>
      <c r="I594" s="1084" t="s">
        <v>2338</v>
      </c>
      <c r="J594" s="1085" t="s">
        <v>904</v>
      </c>
      <c r="K594" s="1086">
        <v>0</v>
      </c>
      <c r="L594" s="1087">
        <v>12</v>
      </c>
      <c r="M594" s="1088">
        <f t="shared" si="18"/>
        <v>13200</v>
      </c>
      <c r="N594" s="1077">
        <v>0</v>
      </c>
      <c r="O594" s="1078">
        <v>6</v>
      </c>
      <c r="P594" s="1089">
        <f t="shared" si="19"/>
        <v>6600</v>
      </c>
    </row>
    <row r="595" spans="1:16" ht="30" x14ac:dyDescent="0.2">
      <c r="A595" s="1077" t="s">
        <v>2333</v>
      </c>
      <c r="B595" s="1078" t="s">
        <v>2334</v>
      </c>
      <c r="C595" s="1079" t="s">
        <v>1444</v>
      </c>
      <c r="D595" s="1090" t="s">
        <v>2472</v>
      </c>
      <c r="E595" s="1081">
        <v>2800</v>
      </c>
      <c r="F595" s="1082">
        <v>45513806</v>
      </c>
      <c r="G595" s="1096" t="s">
        <v>2473</v>
      </c>
      <c r="H595" s="1092" t="s">
        <v>1758</v>
      </c>
      <c r="I595" s="1084" t="s">
        <v>2338</v>
      </c>
      <c r="J595" s="1093" t="s">
        <v>1758</v>
      </c>
      <c r="K595" s="1086">
        <v>0</v>
      </c>
      <c r="L595" s="1087">
        <v>12</v>
      </c>
      <c r="M595" s="1088">
        <f t="shared" si="18"/>
        <v>33600</v>
      </c>
      <c r="N595" s="1077">
        <v>0</v>
      </c>
      <c r="O595" s="1078">
        <v>6</v>
      </c>
      <c r="P595" s="1089">
        <f t="shared" si="19"/>
        <v>16800</v>
      </c>
    </row>
    <row r="596" spans="1:16" ht="15" x14ac:dyDescent="0.2">
      <c r="A596" s="1077" t="s">
        <v>2333</v>
      </c>
      <c r="B596" s="1078" t="s">
        <v>2334</v>
      </c>
      <c r="C596" s="1079" t="s">
        <v>1444</v>
      </c>
      <c r="D596" s="1080" t="s">
        <v>2474</v>
      </c>
      <c r="E596" s="1081">
        <v>2800</v>
      </c>
      <c r="F596" s="1082">
        <v>8039107</v>
      </c>
      <c r="G596" s="1083" t="s">
        <v>2475</v>
      </c>
      <c r="H596" s="1083" t="s">
        <v>2350</v>
      </c>
      <c r="I596" s="1084" t="s">
        <v>2338</v>
      </c>
      <c r="J596" s="1085" t="s">
        <v>2350</v>
      </c>
      <c r="K596" s="1086">
        <v>0</v>
      </c>
      <c r="L596" s="1087">
        <v>12</v>
      </c>
      <c r="M596" s="1088">
        <f t="shared" si="18"/>
        <v>33600</v>
      </c>
      <c r="N596" s="1077">
        <v>0</v>
      </c>
      <c r="O596" s="1078">
        <v>6</v>
      </c>
      <c r="P596" s="1089">
        <f t="shared" si="19"/>
        <v>16800</v>
      </c>
    </row>
    <row r="597" spans="1:16" ht="15" x14ac:dyDescent="0.2">
      <c r="A597" s="1077" t="s">
        <v>2333</v>
      </c>
      <c r="B597" s="1078" t="s">
        <v>2334</v>
      </c>
      <c r="C597" s="1079" t="s">
        <v>1444</v>
      </c>
      <c r="D597" s="1080" t="s">
        <v>2351</v>
      </c>
      <c r="E597" s="1081">
        <v>1500</v>
      </c>
      <c r="F597" s="1082">
        <v>6728322</v>
      </c>
      <c r="G597" s="1083" t="s">
        <v>2476</v>
      </c>
      <c r="H597" s="1083" t="s">
        <v>2368</v>
      </c>
      <c r="I597" s="1084" t="s">
        <v>2338</v>
      </c>
      <c r="J597" s="1085" t="s">
        <v>2368</v>
      </c>
      <c r="K597" s="1086">
        <v>0</v>
      </c>
      <c r="L597" s="1087">
        <v>12</v>
      </c>
      <c r="M597" s="1088">
        <f t="shared" si="18"/>
        <v>18000</v>
      </c>
      <c r="N597" s="1077">
        <v>0</v>
      </c>
      <c r="O597" s="1078">
        <v>6</v>
      </c>
      <c r="P597" s="1089">
        <f t="shared" si="19"/>
        <v>9000</v>
      </c>
    </row>
    <row r="598" spans="1:16" ht="15" x14ac:dyDescent="0.2">
      <c r="A598" s="1077" t="s">
        <v>2333</v>
      </c>
      <c r="B598" s="1078" t="s">
        <v>2334</v>
      </c>
      <c r="C598" s="1079" t="s">
        <v>1444</v>
      </c>
      <c r="D598" s="1080" t="s">
        <v>2406</v>
      </c>
      <c r="E598" s="1081">
        <v>1400</v>
      </c>
      <c r="F598" s="1082">
        <v>47382380</v>
      </c>
      <c r="G598" s="1083" t="s">
        <v>2477</v>
      </c>
      <c r="H598" s="1083" t="s">
        <v>1651</v>
      </c>
      <c r="I598" s="1084" t="s">
        <v>2338</v>
      </c>
      <c r="J598" s="1085" t="s">
        <v>1651</v>
      </c>
      <c r="K598" s="1086">
        <v>0</v>
      </c>
      <c r="L598" s="1087">
        <v>12</v>
      </c>
      <c r="M598" s="1088">
        <f t="shared" si="18"/>
        <v>16800</v>
      </c>
      <c r="N598" s="1077">
        <v>0</v>
      </c>
      <c r="O598" s="1078">
        <v>6</v>
      </c>
      <c r="P598" s="1089">
        <f t="shared" si="19"/>
        <v>8400</v>
      </c>
    </row>
    <row r="599" spans="1:16" ht="15" x14ac:dyDescent="0.2">
      <c r="A599" s="1077" t="s">
        <v>2333</v>
      </c>
      <c r="B599" s="1078" t="s">
        <v>2334</v>
      </c>
      <c r="C599" s="1079" t="s">
        <v>1444</v>
      </c>
      <c r="D599" s="1080" t="s">
        <v>2478</v>
      </c>
      <c r="E599" s="1081">
        <v>3500</v>
      </c>
      <c r="F599" s="1082">
        <v>43558849</v>
      </c>
      <c r="G599" s="1083" t="s">
        <v>2479</v>
      </c>
      <c r="H599" s="1083" t="s">
        <v>2480</v>
      </c>
      <c r="I599" s="1084" t="s">
        <v>2338</v>
      </c>
      <c r="J599" s="1085" t="s">
        <v>2480</v>
      </c>
      <c r="K599" s="1086">
        <v>0</v>
      </c>
      <c r="L599" s="1087">
        <v>12</v>
      </c>
      <c r="M599" s="1088">
        <f t="shared" si="18"/>
        <v>42000</v>
      </c>
      <c r="N599" s="1077">
        <v>0</v>
      </c>
      <c r="O599" s="1078">
        <v>6</v>
      </c>
      <c r="P599" s="1089">
        <f t="shared" si="19"/>
        <v>21000</v>
      </c>
    </row>
    <row r="600" spans="1:16" ht="15" x14ac:dyDescent="0.2">
      <c r="A600" s="1077" t="s">
        <v>2333</v>
      </c>
      <c r="B600" s="1078" t="s">
        <v>2334</v>
      </c>
      <c r="C600" s="1079" t="s">
        <v>1444</v>
      </c>
      <c r="D600" s="1080" t="s">
        <v>1038</v>
      </c>
      <c r="E600" s="1081">
        <v>1300</v>
      </c>
      <c r="F600" s="1082">
        <v>25797268</v>
      </c>
      <c r="G600" s="1083" t="s">
        <v>2481</v>
      </c>
      <c r="H600" s="1083" t="s">
        <v>2482</v>
      </c>
      <c r="I600" s="1084" t="s">
        <v>2338</v>
      </c>
      <c r="J600" s="1085" t="s">
        <v>2482</v>
      </c>
      <c r="K600" s="1086">
        <v>0</v>
      </c>
      <c r="L600" s="1087">
        <v>12</v>
      </c>
      <c r="M600" s="1088">
        <f t="shared" si="18"/>
        <v>15600</v>
      </c>
      <c r="N600" s="1077">
        <v>0</v>
      </c>
      <c r="O600" s="1078">
        <v>6</v>
      </c>
      <c r="P600" s="1089">
        <f t="shared" si="19"/>
        <v>7800</v>
      </c>
    </row>
    <row r="601" spans="1:16" ht="15" x14ac:dyDescent="0.2">
      <c r="A601" s="1077" t="s">
        <v>2333</v>
      </c>
      <c r="B601" s="1078" t="s">
        <v>2334</v>
      </c>
      <c r="C601" s="1079" t="s">
        <v>1444</v>
      </c>
      <c r="D601" s="1080" t="s">
        <v>2392</v>
      </c>
      <c r="E601" s="1081">
        <v>1100</v>
      </c>
      <c r="F601" s="1082">
        <v>10752916</v>
      </c>
      <c r="G601" s="1083" t="s">
        <v>2483</v>
      </c>
      <c r="H601" s="1083" t="s">
        <v>2368</v>
      </c>
      <c r="I601" s="1084" t="s">
        <v>2338</v>
      </c>
      <c r="J601" s="1085" t="s">
        <v>2368</v>
      </c>
      <c r="K601" s="1086">
        <v>0</v>
      </c>
      <c r="L601" s="1087">
        <v>12</v>
      </c>
      <c r="M601" s="1088">
        <f t="shared" si="18"/>
        <v>13200</v>
      </c>
      <c r="N601" s="1077">
        <v>0</v>
      </c>
      <c r="O601" s="1078">
        <v>6</v>
      </c>
      <c r="P601" s="1089">
        <f t="shared" si="19"/>
        <v>6600</v>
      </c>
    </row>
    <row r="602" spans="1:16" ht="15" x14ac:dyDescent="0.2">
      <c r="A602" s="1077" t="s">
        <v>2333</v>
      </c>
      <c r="B602" s="1078" t="s">
        <v>2334</v>
      </c>
      <c r="C602" s="1079" t="s">
        <v>1444</v>
      </c>
      <c r="D602" s="1080" t="s">
        <v>2354</v>
      </c>
      <c r="E602" s="1081">
        <v>1700</v>
      </c>
      <c r="F602" s="1082">
        <v>46556834</v>
      </c>
      <c r="G602" s="1083" t="s">
        <v>2484</v>
      </c>
      <c r="H602" s="1083" t="s">
        <v>2485</v>
      </c>
      <c r="I602" s="1084" t="s">
        <v>2338</v>
      </c>
      <c r="J602" s="1085" t="s">
        <v>2485</v>
      </c>
      <c r="K602" s="1086">
        <v>0</v>
      </c>
      <c r="L602" s="1087">
        <v>12</v>
      </c>
      <c r="M602" s="1088">
        <f t="shared" si="18"/>
        <v>20400</v>
      </c>
      <c r="N602" s="1077">
        <v>0</v>
      </c>
      <c r="O602" s="1078">
        <v>6</v>
      </c>
      <c r="P602" s="1089">
        <f t="shared" si="19"/>
        <v>10200</v>
      </c>
    </row>
    <row r="603" spans="1:16" ht="15" x14ac:dyDescent="0.2">
      <c r="A603" s="1077" t="s">
        <v>2333</v>
      </c>
      <c r="B603" s="1078" t="s">
        <v>2334</v>
      </c>
      <c r="C603" s="1079" t="s">
        <v>1444</v>
      </c>
      <c r="D603" s="1080" t="s">
        <v>2478</v>
      </c>
      <c r="E603" s="1081">
        <v>3000</v>
      </c>
      <c r="F603" s="1082">
        <v>25797500</v>
      </c>
      <c r="G603" s="1083" t="s">
        <v>2486</v>
      </c>
      <c r="H603" s="1083" t="s">
        <v>2487</v>
      </c>
      <c r="I603" s="1084" t="s">
        <v>2338</v>
      </c>
      <c r="J603" s="1085" t="s">
        <v>2487</v>
      </c>
      <c r="K603" s="1086">
        <v>0</v>
      </c>
      <c r="L603" s="1087">
        <v>12</v>
      </c>
      <c r="M603" s="1088">
        <f t="shared" si="18"/>
        <v>36000</v>
      </c>
      <c r="N603" s="1077">
        <v>0</v>
      </c>
      <c r="O603" s="1078">
        <v>6</v>
      </c>
      <c r="P603" s="1089">
        <f t="shared" si="19"/>
        <v>18000</v>
      </c>
    </row>
    <row r="604" spans="1:16" ht="15" x14ac:dyDescent="0.2">
      <c r="A604" s="1077" t="s">
        <v>2333</v>
      </c>
      <c r="B604" s="1078" t="s">
        <v>2334</v>
      </c>
      <c r="C604" s="1079" t="s">
        <v>1444</v>
      </c>
      <c r="D604" s="1090" t="s">
        <v>2488</v>
      </c>
      <c r="E604" s="1081">
        <v>5500</v>
      </c>
      <c r="F604" s="1091">
        <v>42933176</v>
      </c>
      <c r="G604" s="1083" t="s">
        <v>2489</v>
      </c>
      <c r="H604" s="1092" t="s">
        <v>2490</v>
      </c>
      <c r="I604" s="1084" t="s">
        <v>2338</v>
      </c>
      <c r="J604" s="1093" t="s">
        <v>2490</v>
      </c>
      <c r="K604" s="1086">
        <v>0</v>
      </c>
      <c r="L604" s="1087">
        <v>12</v>
      </c>
      <c r="M604" s="1088">
        <f t="shared" si="18"/>
        <v>66000</v>
      </c>
      <c r="N604" s="1077">
        <v>0</v>
      </c>
      <c r="O604" s="1078">
        <v>6</v>
      </c>
      <c r="P604" s="1089">
        <f t="shared" si="19"/>
        <v>33000</v>
      </c>
    </row>
    <row r="605" spans="1:16" ht="15" x14ac:dyDescent="0.2">
      <c r="A605" s="1077" t="s">
        <v>2333</v>
      </c>
      <c r="B605" s="1078" t="s">
        <v>2334</v>
      </c>
      <c r="C605" s="1079" t="s">
        <v>1444</v>
      </c>
      <c r="D605" s="1080" t="s">
        <v>2335</v>
      </c>
      <c r="E605" s="1081">
        <v>1400</v>
      </c>
      <c r="F605" s="1082">
        <v>41690955</v>
      </c>
      <c r="G605" s="1083" t="s">
        <v>2491</v>
      </c>
      <c r="H605" s="1083" t="s">
        <v>1651</v>
      </c>
      <c r="I605" s="1084" t="s">
        <v>2338</v>
      </c>
      <c r="J605" s="1085" t="s">
        <v>1651</v>
      </c>
      <c r="K605" s="1086">
        <v>0</v>
      </c>
      <c r="L605" s="1087">
        <v>12</v>
      </c>
      <c r="M605" s="1088">
        <f t="shared" si="18"/>
        <v>16800</v>
      </c>
      <c r="N605" s="1077">
        <v>0</v>
      </c>
      <c r="O605" s="1078">
        <v>6</v>
      </c>
      <c r="P605" s="1089">
        <f t="shared" si="19"/>
        <v>8400</v>
      </c>
    </row>
    <row r="606" spans="1:16" ht="15" x14ac:dyDescent="0.2">
      <c r="A606" s="1077" t="s">
        <v>2333</v>
      </c>
      <c r="B606" s="1078" t="s">
        <v>2334</v>
      </c>
      <c r="C606" s="1079" t="s">
        <v>1444</v>
      </c>
      <c r="D606" s="1080" t="s">
        <v>2335</v>
      </c>
      <c r="E606" s="1081">
        <v>1400</v>
      </c>
      <c r="F606" s="1082">
        <v>46856481</v>
      </c>
      <c r="G606" s="1083" t="s">
        <v>2492</v>
      </c>
      <c r="H606" s="1083" t="s">
        <v>1651</v>
      </c>
      <c r="I606" s="1084" t="s">
        <v>2338</v>
      </c>
      <c r="J606" s="1085" t="s">
        <v>1651</v>
      </c>
      <c r="K606" s="1086">
        <v>0</v>
      </c>
      <c r="L606" s="1087">
        <v>12</v>
      </c>
      <c r="M606" s="1088">
        <f t="shared" si="18"/>
        <v>16800</v>
      </c>
      <c r="N606" s="1077">
        <v>0</v>
      </c>
      <c r="O606" s="1078">
        <v>6</v>
      </c>
      <c r="P606" s="1089">
        <f t="shared" si="19"/>
        <v>8400</v>
      </c>
    </row>
    <row r="607" spans="1:16" ht="15" x14ac:dyDescent="0.2">
      <c r="A607" s="1077" t="s">
        <v>2333</v>
      </c>
      <c r="B607" s="1078" t="s">
        <v>2334</v>
      </c>
      <c r="C607" s="1079" t="s">
        <v>1444</v>
      </c>
      <c r="D607" s="1080" t="s">
        <v>2344</v>
      </c>
      <c r="E607" s="1081">
        <v>1300</v>
      </c>
      <c r="F607" s="1082">
        <v>7868679</v>
      </c>
      <c r="G607" s="1083" t="s">
        <v>2493</v>
      </c>
      <c r="H607" s="1083" t="s">
        <v>904</v>
      </c>
      <c r="I607" s="1084" t="s">
        <v>2338</v>
      </c>
      <c r="J607" s="1085" t="s">
        <v>904</v>
      </c>
      <c r="K607" s="1086">
        <v>0</v>
      </c>
      <c r="L607" s="1087">
        <v>12</v>
      </c>
      <c r="M607" s="1088">
        <f t="shared" si="18"/>
        <v>15600</v>
      </c>
      <c r="N607" s="1077">
        <v>0</v>
      </c>
      <c r="O607" s="1078">
        <v>6</v>
      </c>
      <c r="P607" s="1089">
        <f t="shared" si="19"/>
        <v>7800</v>
      </c>
    </row>
    <row r="608" spans="1:16" ht="15" x14ac:dyDescent="0.2">
      <c r="A608" s="1077" t="s">
        <v>2333</v>
      </c>
      <c r="B608" s="1078" t="s">
        <v>2334</v>
      </c>
      <c r="C608" s="1079" t="s">
        <v>1444</v>
      </c>
      <c r="D608" s="1080" t="s">
        <v>2335</v>
      </c>
      <c r="E608" s="1081">
        <v>2800</v>
      </c>
      <c r="F608" s="1082">
        <v>42011983</v>
      </c>
      <c r="G608" s="1083" t="s">
        <v>2494</v>
      </c>
      <c r="H608" s="1083" t="s">
        <v>2337</v>
      </c>
      <c r="I608" s="1084" t="s">
        <v>2338</v>
      </c>
      <c r="J608" s="1085" t="s">
        <v>2337</v>
      </c>
      <c r="K608" s="1086">
        <v>0</v>
      </c>
      <c r="L608" s="1087">
        <v>12</v>
      </c>
      <c r="M608" s="1088">
        <f t="shared" si="18"/>
        <v>33600</v>
      </c>
      <c r="N608" s="1077">
        <v>0</v>
      </c>
      <c r="O608" s="1078">
        <v>6</v>
      </c>
      <c r="P608" s="1089">
        <f t="shared" si="19"/>
        <v>16800</v>
      </c>
    </row>
    <row r="609" spans="1:16" ht="15" x14ac:dyDescent="0.2">
      <c r="A609" s="1077" t="s">
        <v>2333</v>
      </c>
      <c r="B609" s="1078" t="s">
        <v>2334</v>
      </c>
      <c r="C609" s="1079" t="s">
        <v>1444</v>
      </c>
      <c r="D609" s="1080" t="s">
        <v>2351</v>
      </c>
      <c r="E609" s="1081">
        <v>1100</v>
      </c>
      <c r="F609" s="1082">
        <v>25585323</v>
      </c>
      <c r="G609" s="1083" t="s">
        <v>2495</v>
      </c>
      <c r="H609" s="1083" t="s">
        <v>2353</v>
      </c>
      <c r="I609" s="1084" t="s">
        <v>2338</v>
      </c>
      <c r="J609" s="1085" t="s">
        <v>2353</v>
      </c>
      <c r="K609" s="1086">
        <v>0</v>
      </c>
      <c r="L609" s="1087">
        <v>12</v>
      </c>
      <c r="M609" s="1088">
        <f t="shared" si="18"/>
        <v>13200</v>
      </c>
      <c r="N609" s="1077">
        <v>0</v>
      </c>
      <c r="O609" s="1078">
        <v>6</v>
      </c>
      <c r="P609" s="1089">
        <f t="shared" si="19"/>
        <v>6600</v>
      </c>
    </row>
    <row r="610" spans="1:16" ht="15" x14ac:dyDescent="0.2">
      <c r="A610" s="1077" t="s">
        <v>2333</v>
      </c>
      <c r="B610" s="1078" t="s">
        <v>2334</v>
      </c>
      <c r="C610" s="1079" t="s">
        <v>1444</v>
      </c>
      <c r="D610" s="1080" t="s">
        <v>2496</v>
      </c>
      <c r="E610" s="1081">
        <v>2800</v>
      </c>
      <c r="F610" s="1082">
        <v>45444417</v>
      </c>
      <c r="G610" s="1083" t="s">
        <v>2497</v>
      </c>
      <c r="H610" s="1083" t="s">
        <v>2337</v>
      </c>
      <c r="I610" s="1084" t="s">
        <v>2338</v>
      </c>
      <c r="J610" s="1085" t="s">
        <v>2337</v>
      </c>
      <c r="K610" s="1086">
        <v>0</v>
      </c>
      <c r="L610" s="1087">
        <v>12</v>
      </c>
      <c r="M610" s="1088">
        <f t="shared" si="18"/>
        <v>33600</v>
      </c>
      <c r="N610" s="1077">
        <v>0</v>
      </c>
      <c r="O610" s="1078">
        <v>6</v>
      </c>
      <c r="P610" s="1089">
        <f t="shared" si="19"/>
        <v>16800</v>
      </c>
    </row>
    <row r="611" spans="1:16" ht="15" x14ac:dyDescent="0.2">
      <c r="A611" s="1077" t="s">
        <v>2333</v>
      </c>
      <c r="B611" s="1078" t="s">
        <v>2334</v>
      </c>
      <c r="C611" s="1079" t="s">
        <v>1444</v>
      </c>
      <c r="D611" s="1080" t="s">
        <v>2498</v>
      </c>
      <c r="E611" s="1081">
        <v>2300</v>
      </c>
      <c r="F611" s="1082">
        <v>44054652</v>
      </c>
      <c r="G611" s="1083" t="s">
        <v>2499</v>
      </c>
      <c r="H611" s="1083" t="s">
        <v>2337</v>
      </c>
      <c r="I611" s="1084" t="s">
        <v>2338</v>
      </c>
      <c r="J611" s="1085" t="s">
        <v>2337</v>
      </c>
      <c r="K611" s="1086">
        <v>0</v>
      </c>
      <c r="L611" s="1087">
        <v>12</v>
      </c>
      <c r="M611" s="1088">
        <f t="shared" si="18"/>
        <v>27600</v>
      </c>
      <c r="N611" s="1077">
        <v>0</v>
      </c>
      <c r="O611" s="1078">
        <v>6</v>
      </c>
      <c r="P611" s="1089">
        <f t="shared" si="19"/>
        <v>13800</v>
      </c>
    </row>
    <row r="612" spans="1:16" ht="15" x14ac:dyDescent="0.2">
      <c r="A612" s="1077" t="s">
        <v>2333</v>
      </c>
      <c r="B612" s="1078" t="s">
        <v>2334</v>
      </c>
      <c r="C612" s="1079" t="s">
        <v>1444</v>
      </c>
      <c r="D612" s="1080" t="s">
        <v>2500</v>
      </c>
      <c r="E612" s="1081">
        <v>2300</v>
      </c>
      <c r="F612" s="1082">
        <v>7398722</v>
      </c>
      <c r="G612" s="1083" t="s">
        <v>2501</v>
      </c>
      <c r="H612" s="1083" t="s">
        <v>2350</v>
      </c>
      <c r="I612" s="1084" t="s">
        <v>2338</v>
      </c>
      <c r="J612" s="1085" t="s">
        <v>2350</v>
      </c>
      <c r="K612" s="1086">
        <v>0</v>
      </c>
      <c r="L612" s="1087">
        <v>12</v>
      </c>
      <c r="M612" s="1088">
        <f t="shared" si="18"/>
        <v>27600</v>
      </c>
      <c r="N612" s="1077">
        <v>0</v>
      </c>
      <c r="O612" s="1078">
        <v>6</v>
      </c>
      <c r="P612" s="1089">
        <f t="shared" si="19"/>
        <v>13800</v>
      </c>
    </row>
    <row r="613" spans="1:16" ht="15" x14ac:dyDescent="0.2">
      <c r="A613" s="1077" t="s">
        <v>2333</v>
      </c>
      <c r="B613" s="1078" t="s">
        <v>2334</v>
      </c>
      <c r="C613" s="1079" t="s">
        <v>1444</v>
      </c>
      <c r="D613" s="1080" t="s">
        <v>2502</v>
      </c>
      <c r="E613" s="1081">
        <v>2500</v>
      </c>
      <c r="F613" s="1082">
        <v>41088006</v>
      </c>
      <c r="G613" s="1083" t="s">
        <v>2503</v>
      </c>
      <c r="H613" s="1083" t="s">
        <v>545</v>
      </c>
      <c r="I613" s="1084" t="s">
        <v>2338</v>
      </c>
      <c r="J613" s="1085" t="s">
        <v>545</v>
      </c>
      <c r="K613" s="1086">
        <v>0</v>
      </c>
      <c r="L613" s="1087">
        <v>12</v>
      </c>
      <c r="M613" s="1088">
        <f t="shared" si="18"/>
        <v>30000</v>
      </c>
      <c r="N613" s="1077">
        <v>0</v>
      </c>
      <c r="O613" s="1078">
        <v>6</v>
      </c>
      <c r="P613" s="1089">
        <f t="shared" si="19"/>
        <v>15000</v>
      </c>
    </row>
    <row r="614" spans="1:16" ht="15" x14ac:dyDescent="0.2">
      <c r="A614" s="1077" t="s">
        <v>2333</v>
      </c>
      <c r="B614" s="1078" t="s">
        <v>2334</v>
      </c>
      <c r="C614" s="1079" t="s">
        <v>1444</v>
      </c>
      <c r="D614" s="1080" t="s">
        <v>2335</v>
      </c>
      <c r="E614" s="1081">
        <v>2300</v>
      </c>
      <c r="F614" s="1082">
        <v>44602873</v>
      </c>
      <c r="G614" s="1083" t="s">
        <v>2504</v>
      </c>
      <c r="H614" s="1083" t="s">
        <v>2337</v>
      </c>
      <c r="I614" s="1084" t="s">
        <v>2338</v>
      </c>
      <c r="J614" s="1085" t="s">
        <v>2337</v>
      </c>
      <c r="K614" s="1086">
        <v>0</v>
      </c>
      <c r="L614" s="1087">
        <v>12</v>
      </c>
      <c r="M614" s="1088">
        <f t="shared" si="18"/>
        <v>27600</v>
      </c>
      <c r="N614" s="1077">
        <v>0</v>
      </c>
      <c r="O614" s="1078">
        <v>6</v>
      </c>
      <c r="P614" s="1089">
        <f t="shared" si="19"/>
        <v>13800</v>
      </c>
    </row>
    <row r="615" spans="1:16" ht="15" x14ac:dyDescent="0.2">
      <c r="A615" s="1077" t="s">
        <v>2333</v>
      </c>
      <c r="B615" s="1078" t="s">
        <v>2334</v>
      </c>
      <c r="C615" s="1079" t="s">
        <v>1444</v>
      </c>
      <c r="D615" s="1080" t="s">
        <v>2505</v>
      </c>
      <c r="E615" s="1081">
        <v>2800</v>
      </c>
      <c r="F615" s="1082">
        <v>41242320</v>
      </c>
      <c r="G615" s="1083" t="s">
        <v>2506</v>
      </c>
      <c r="H615" s="1083" t="s">
        <v>2337</v>
      </c>
      <c r="I615" s="1084" t="s">
        <v>2338</v>
      </c>
      <c r="J615" s="1085" t="s">
        <v>2337</v>
      </c>
      <c r="K615" s="1086">
        <v>0</v>
      </c>
      <c r="L615" s="1087">
        <v>12</v>
      </c>
      <c r="M615" s="1088">
        <f t="shared" si="18"/>
        <v>33600</v>
      </c>
      <c r="N615" s="1077">
        <v>0</v>
      </c>
      <c r="O615" s="1078">
        <v>6</v>
      </c>
      <c r="P615" s="1089">
        <f t="shared" si="19"/>
        <v>16800</v>
      </c>
    </row>
    <row r="616" spans="1:16" ht="15" x14ac:dyDescent="0.2">
      <c r="A616" s="1077" t="s">
        <v>2333</v>
      </c>
      <c r="B616" s="1078" t="s">
        <v>2334</v>
      </c>
      <c r="C616" s="1079" t="s">
        <v>1444</v>
      </c>
      <c r="D616" s="1080" t="s">
        <v>2335</v>
      </c>
      <c r="E616" s="1081">
        <v>2800</v>
      </c>
      <c r="F616" s="1082">
        <v>43849511</v>
      </c>
      <c r="G616" s="1083" t="s">
        <v>2507</v>
      </c>
      <c r="H616" s="1083" t="s">
        <v>2337</v>
      </c>
      <c r="I616" s="1084" t="s">
        <v>2338</v>
      </c>
      <c r="J616" s="1085" t="s">
        <v>2337</v>
      </c>
      <c r="K616" s="1086">
        <v>0</v>
      </c>
      <c r="L616" s="1087">
        <v>12</v>
      </c>
      <c r="M616" s="1088">
        <f t="shared" si="18"/>
        <v>33600</v>
      </c>
      <c r="N616" s="1077">
        <v>0</v>
      </c>
      <c r="O616" s="1078">
        <v>6</v>
      </c>
      <c r="P616" s="1089">
        <f t="shared" si="19"/>
        <v>16800</v>
      </c>
    </row>
    <row r="617" spans="1:16" ht="15" x14ac:dyDescent="0.2">
      <c r="A617" s="1077" t="s">
        <v>2333</v>
      </c>
      <c r="B617" s="1078" t="s">
        <v>2334</v>
      </c>
      <c r="C617" s="1079" t="s">
        <v>1444</v>
      </c>
      <c r="D617" s="1080" t="s">
        <v>2335</v>
      </c>
      <c r="E617" s="1081">
        <v>2300</v>
      </c>
      <c r="F617" s="1082">
        <v>44805095</v>
      </c>
      <c r="G617" s="1083" t="s">
        <v>2508</v>
      </c>
      <c r="H617" s="1083" t="s">
        <v>2337</v>
      </c>
      <c r="I617" s="1084" t="s">
        <v>2338</v>
      </c>
      <c r="J617" s="1085" t="s">
        <v>2337</v>
      </c>
      <c r="K617" s="1086">
        <v>0</v>
      </c>
      <c r="L617" s="1087">
        <v>12</v>
      </c>
      <c r="M617" s="1088">
        <f t="shared" si="18"/>
        <v>27600</v>
      </c>
      <c r="N617" s="1077">
        <v>0</v>
      </c>
      <c r="O617" s="1078">
        <v>6</v>
      </c>
      <c r="P617" s="1089">
        <f t="shared" si="19"/>
        <v>13800</v>
      </c>
    </row>
    <row r="618" spans="1:16" ht="15" x14ac:dyDescent="0.2">
      <c r="A618" s="1077" t="s">
        <v>2333</v>
      </c>
      <c r="B618" s="1078" t="s">
        <v>2334</v>
      </c>
      <c r="C618" s="1079" t="s">
        <v>1444</v>
      </c>
      <c r="D618" s="1080" t="s">
        <v>2387</v>
      </c>
      <c r="E618" s="1081">
        <v>1400</v>
      </c>
      <c r="F618" s="1082">
        <v>43998016</v>
      </c>
      <c r="G618" s="1083" t="s">
        <v>2509</v>
      </c>
      <c r="H618" s="1083" t="s">
        <v>1716</v>
      </c>
      <c r="I618" s="1084" t="s">
        <v>2338</v>
      </c>
      <c r="J618" s="1085" t="s">
        <v>1716</v>
      </c>
      <c r="K618" s="1086">
        <v>0</v>
      </c>
      <c r="L618" s="1087">
        <v>12</v>
      </c>
      <c r="M618" s="1088">
        <f t="shared" si="18"/>
        <v>16800</v>
      </c>
      <c r="N618" s="1077">
        <v>0</v>
      </c>
      <c r="O618" s="1078">
        <v>6</v>
      </c>
      <c r="P618" s="1089">
        <f t="shared" si="19"/>
        <v>8400</v>
      </c>
    </row>
    <row r="619" spans="1:16" ht="15" x14ac:dyDescent="0.2">
      <c r="A619" s="1077" t="s">
        <v>2333</v>
      </c>
      <c r="B619" s="1078" t="s">
        <v>2334</v>
      </c>
      <c r="C619" s="1079" t="s">
        <v>1444</v>
      </c>
      <c r="D619" s="1080" t="s">
        <v>2502</v>
      </c>
      <c r="E619" s="1081">
        <v>12500</v>
      </c>
      <c r="F619" s="1082">
        <v>9857011</v>
      </c>
      <c r="G619" s="1083" t="s">
        <v>2510</v>
      </c>
      <c r="H619" s="1083" t="s">
        <v>2511</v>
      </c>
      <c r="I619" s="1084" t="s">
        <v>2338</v>
      </c>
      <c r="J619" s="1085" t="s">
        <v>2511</v>
      </c>
      <c r="K619" s="1086">
        <v>0</v>
      </c>
      <c r="L619" s="1087">
        <v>12</v>
      </c>
      <c r="M619" s="1088">
        <f t="shared" si="18"/>
        <v>150000</v>
      </c>
      <c r="N619" s="1077">
        <v>0</v>
      </c>
      <c r="O619" s="1078">
        <v>6</v>
      </c>
      <c r="P619" s="1089">
        <f t="shared" si="19"/>
        <v>75000</v>
      </c>
    </row>
    <row r="620" spans="1:16" ht="15" x14ac:dyDescent="0.2">
      <c r="A620" s="1077" t="s">
        <v>2333</v>
      </c>
      <c r="B620" s="1078" t="s">
        <v>2334</v>
      </c>
      <c r="C620" s="1079" t="s">
        <v>1444</v>
      </c>
      <c r="D620" s="1080" t="s">
        <v>2335</v>
      </c>
      <c r="E620" s="1081">
        <v>2300</v>
      </c>
      <c r="F620" s="1082">
        <v>45839162</v>
      </c>
      <c r="G620" s="1083" t="s">
        <v>2512</v>
      </c>
      <c r="H620" s="1083" t="s">
        <v>2337</v>
      </c>
      <c r="I620" s="1084" t="s">
        <v>2338</v>
      </c>
      <c r="J620" s="1085" t="s">
        <v>2337</v>
      </c>
      <c r="K620" s="1086">
        <v>0</v>
      </c>
      <c r="L620" s="1087">
        <v>12</v>
      </c>
      <c r="M620" s="1088">
        <f t="shared" si="18"/>
        <v>27600</v>
      </c>
      <c r="N620" s="1077">
        <v>0</v>
      </c>
      <c r="O620" s="1078">
        <v>6</v>
      </c>
      <c r="P620" s="1089">
        <f t="shared" si="19"/>
        <v>13800</v>
      </c>
    </row>
    <row r="621" spans="1:16" ht="15" x14ac:dyDescent="0.2">
      <c r="A621" s="1077" t="s">
        <v>2333</v>
      </c>
      <c r="B621" s="1078" t="s">
        <v>2334</v>
      </c>
      <c r="C621" s="1079" t="s">
        <v>1444</v>
      </c>
      <c r="D621" s="1080" t="s">
        <v>2351</v>
      </c>
      <c r="E621" s="1081">
        <v>1500</v>
      </c>
      <c r="F621" s="1082">
        <v>42079263</v>
      </c>
      <c r="G621" s="1083" t="s">
        <v>2513</v>
      </c>
      <c r="H621" s="1083" t="s">
        <v>2368</v>
      </c>
      <c r="I621" s="1084" t="s">
        <v>2338</v>
      </c>
      <c r="J621" s="1085" t="s">
        <v>2368</v>
      </c>
      <c r="K621" s="1086">
        <v>0</v>
      </c>
      <c r="L621" s="1087">
        <v>12</v>
      </c>
      <c r="M621" s="1088">
        <f t="shared" si="18"/>
        <v>18000</v>
      </c>
      <c r="N621" s="1077">
        <v>0</v>
      </c>
      <c r="O621" s="1078">
        <v>6</v>
      </c>
      <c r="P621" s="1089">
        <f t="shared" si="19"/>
        <v>9000</v>
      </c>
    </row>
    <row r="622" spans="1:16" ht="15" x14ac:dyDescent="0.2">
      <c r="A622" s="1077" t="s">
        <v>2333</v>
      </c>
      <c r="B622" s="1078" t="s">
        <v>2334</v>
      </c>
      <c r="C622" s="1079" t="s">
        <v>1444</v>
      </c>
      <c r="D622" s="1080" t="s">
        <v>2344</v>
      </c>
      <c r="E622" s="1081">
        <v>2800</v>
      </c>
      <c r="F622" s="1082">
        <v>41224541</v>
      </c>
      <c r="G622" s="1083" t="s">
        <v>2514</v>
      </c>
      <c r="H622" s="1083" t="s">
        <v>1758</v>
      </c>
      <c r="I622" s="1084" t="s">
        <v>2338</v>
      </c>
      <c r="J622" s="1085" t="s">
        <v>1758</v>
      </c>
      <c r="K622" s="1086">
        <v>0</v>
      </c>
      <c r="L622" s="1087">
        <v>12</v>
      </c>
      <c r="M622" s="1088">
        <f t="shared" si="18"/>
        <v>33600</v>
      </c>
      <c r="N622" s="1077">
        <v>0</v>
      </c>
      <c r="O622" s="1078">
        <v>6</v>
      </c>
      <c r="P622" s="1089">
        <f t="shared" si="19"/>
        <v>16800</v>
      </c>
    </row>
    <row r="623" spans="1:16" ht="15" x14ac:dyDescent="0.2">
      <c r="A623" s="1077" t="s">
        <v>2333</v>
      </c>
      <c r="B623" s="1078" t="s">
        <v>2334</v>
      </c>
      <c r="C623" s="1079" t="s">
        <v>1444</v>
      </c>
      <c r="D623" s="1080" t="s">
        <v>2412</v>
      </c>
      <c r="E623" s="1081">
        <v>1600</v>
      </c>
      <c r="F623" s="1082">
        <v>46628252</v>
      </c>
      <c r="G623" s="1083" t="s">
        <v>2515</v>
      </c>
      <c r="H623" s="1083" t="s">
        <v>2460</v>
      </c>
      <c r="I623" s="1084" t="s">
        <v>2338</v>
      </c>
      <c r="J623" s="1085" t="s">
        <v>2460</v>
      </c>
      <c r="K623" s="1086">
        <v>0</v>
      </c>
      <c r="L623" s="1087">
        <v>12</v>
      </c>
      <c r="M623" s="1088">
        <f t="shared" si="18"/>
        <v>19200</v>
      </c>
      <c r="N623" s="1077">
        <v>0</v>
      </c>
      <c r="O623" s="1078">
        <v>6</v>
      </c>
      <c r="P623" s="1089">
        <f t="shared" si="19"/>
        <v>9600</v>
      </c>
    </row>
    <row r="624" spans="1:16" ht="15" x14ac:dyDescent="0.2">
      <c r="A624" s="1077" t="s">
        <v>2333</v>
      </c>
      <c r="B624" s="1078" t="s">
        <v>2334</v>
      </c>
      <c r="C624" s="1079" t="s">
        <v>1444</v>
      </c>
      <c r="D624" s="1080" t="s">
        <v>2428</v>
      </c>
      <c r="E624" s="1081">
        <v>1100</v>
      </c>
      <c r="F624" s="1082">
        <v>25661349</v>
      </c>
      <c r="G624" s="1083" t="s">
        <v>2516</v>
      </c>
      <c r="H624" s="1083" t="s">
        <v>2430</v>
      </c>
      <c r="I624" s="1084" t="s">
        <v>2338</v>
      </c>
      <c r="J624" s="1085" t="s">
        <v>2430</v>
      </c>
      <c r="K624" s="1086">
        <v>0</v>
      </c>
      <c r="L624" s="1087">
        <v>12</v>
      </c>
      <c r="M624" s="1088">
        <f t="shared" si="18"/>
        <v>13200</v>
      </c>
      <c r="N624" s="1077">
        <v>0</v>
      </c>
      <c r="O624" s="1078">
        <v>6</v>
      </c>
      <c r="P624" s="1089">
        <f t="shared" si="19"/>
        <v>6600</v>
      </c>
    </row>
    <row r="625" spans="1:16" ht="15" x14ac:dyDescent="0.2">
      <c r="A625" s="1077" t="s">
        <v>2333</v>
      </c>
      <c r="B625" s="1078" t="s">
        <v>2334</v>
      </c>
      <c r="C625" s="1079" t="s">
        <v>1444</v>
      </c>
      <c r="D625" s="1080" t="s">
        <v>2517</v>
      </c>
      <c r="E625" s="1081">
        <v>3000</v>
      </c>
      <c r="F625" s="1082">
        <v>44098367</v>
      </c>
      <c r="G625" s="1083" t="s">
        <v>2518</v>
      </c>
      <c r="H625" s="1083" t="s">
        <v>1994</v>
      </c>
      <c r="I625" s="1084" t="s">
        <v>2338</v>
      </c>
      <c r="J625" s="1085" t="s">
        <v>1994</v>
      </c>
      <c r="K625" s="1086">
        <v>0</v>
      </c>
      <c r="L625" s="1087">
        <v>12</v>
      </c>
      <c r="M625" s="1088">
        <f t="shared" si="18"/>
        <v>36000</v>
      </c>
      <c r="N625" s="1077">
        <v>0</v>
      </c>
      <c r="O625" s="1078">
        <v>6</v>
      </c>
      <c r="P625" s="1089">
        <f t="shared" si="19"/>
        <v>18000</v>
      </c>
    </row>
    <row r="626" spans="1:16" ht="15" x14ac:dyDescent="0.2">
      <c r="A626" s="1077" t="s">
        <v>2333</v>
      </c>
      <c r="B626" s="1078" t="s">
        <v>2334</v>
      </c>
      <c r="C626" s="1079" t="s">
        <v>1444</v>
      </c>
      <c r="D626" s="1080" t="s">
        <v>2431</v>
      </c>
      <c r="E626" s="1081">
        <v>2300</v>
      </c>
      <c r="F626" s="1082">
        <v>43728656</v>
      </c>
      <c r="G626" s="1083" t="s">
        <v>2519</v>
      </c>
      <c r="H626" s="1083" t="s">
        <v>2337</v>
      </c>
      <c r="I626" s="1084" t="s">
        <v>2338</v>
      </c>
      <c r="J626" s="1085" t="s">
        <v>2337</v>
      </c>
      <c r="K626" s="1086">
        <v>0</v>
      </c>
      <c r="L626" s="1087">
        <v>12</v>
      </c>
      <c r="M626" s="1088">
        <f t="shared" si="18"/>
        <v>27600</v>
      </c>
      <c r="N626" s="1077">
        <v>0</v>
      </c>
      <c r="O626" s="1078">
        <v>6</v>
      </c>
      <c r="P626" s="1089">
        <f t="shared" si="19"/>
        <v>13800</v>
      </c>
    </row>
    <row r="627" spans="1:16" ht="15" x14ac:dyDescent="0.2">
      <c r="A627" s="1077" t="s">
        <v>2333</v>
      </c>
      <c r="B627" s="1078" t="s">
        <v>2334</v>
      </c>
      <c r="C627" s="1079" t="s">
        <v>1444</v>
      </c>
      <c r="D627" s="1080" t="s">
        <v>2520</v>
      </c>
      <c r="E627" s="1081">
        <v>5500</v>
      </c>
      <c r="F627" s="1082">
        <v>10206597</v>
      </c>
      <c r="G627" s="1083" t="s">
        <v>2521</v>
      </c>
      <c r="H627" s="1083" t="s">
        <v>1834</v>
      </c>
      <c r="I627" s="1084" t="s">
        <v>2338</v>
      </c>
      <c r="J627" s="1085" t="s">
        <v>1834</v>
      </c>
      <c r="K627" s="1086">
        <v>0</v>
      </c>
      <c r="L627" s="1087">
        <v>12</v>
      </c>
      <c r="M627" s="1088">
        <f t="shared" si="18"/>
        <v>66000</v>
      </c>
      <c r="N627" s="1077">
        <v>0</v>
      </c>
      <c r="O627" s="1078">
        <v>6</v>
      </c>
      <c r="P627" s="1089">
        <f t="shared" si="19"/>
        <v>33000</v>
      </c>
    </row>
    <row r="628" spans="1:16" ht="15" x14ac:dyDescent="0.2">
      <c r="A628" s="1077" t="s">
        <v>2333</v>
      </c>
      <c r="B628" s="1078" t="s">
        <v>2334</v>
      </c>
      <c r="C628" s="1079" t="s">
        <v>1444</v>
      </c>
      <c r="D628" s="1080" t="s">
        <v>2360</v>
      </c>
      <c r="E628" s="1081">
        <v>1700</v>
      </c>
      <c r="F628" s="1082">
        <v>43170482</v>
      </c>
      <c r="G628" s="1083" t="s">
        <v>2522</v>
      </c>
      <c r="H628" s="1083" t="s">
        <v>613</v>
      </c>
      <c r="I628" s="1084" t="s">
        <v>2338</v>
      </c>
      <c r="J628" s="1085" t="s">
        <v>613</v>
      </c>
      <c r="K628" s="1086">
        <v>0</v>
      </c>
      <c r="L628" s="1087">
        <v>12</v>
      </c>
      <c r="M628" s="1088">
        <f t="shared" si="18"/>
        <v>20400</v>
      </c>
      <c r="N628" s="1077">
        <v>0</v>
      </c>
      <c r="O628" s="1078">
        <v>6</v>
      </c>
      <c r="P628" s="1089">
        <f t="shared" si="19"/>
        <v>10200</v>
      </c>
    </row>
    <row r="629" spans="1:16" ht="15" x14ac:dyDescent="0.2">
      <c r="A629" s="1077" t="s">
        <v>2333</v>
      </c>
      <c r="B629" s="1078" t="s">
        <v>2334</v>
      </c>
      <c r="C629" s="1079" t="s">
        <v>1444</v>
      </c>
      <c r="D629" s="1080" t="s">
        <v>2408</v>
      </c>
      <c r="E629" s="1081">
        <v>2300</v>
      </c>
      <c r="F629" s="1082">
        <v>70145315</v>
      </c>
      <c r="G629" s="1083" t="s">
        <v>2523</v>
      </c>
      <c r="H629" s="1083" t="s">
        <v>1643</v>
      </c>
      <c r="I629" s="1084" t="s">
        <v>2338</v>
      </c>
      <c r="J629" s="1085" t="s">
        <v>1643</v>
      </c>
      <c r="K629" s="1086">
        <v>0</v>
      </c>
      <c r="L629" s="1087">
        <v>12</v>
      </c>
      <c r="M629" s="1088">
        <f t="shared" si="18"/>
        <v>27600</v>
      </c>
      <c r="N629" s="1077">
        <v>0</v>
      </c>
      <c r="O629" s="1078">
        <v>6</v>
      </c>
      <c r="P629" s="1089">
        <f t="shared" si="19"/>
        <v>13800</v>
      </c>
    </row>
    <row r="630" spans="1:16" ht="15" x14ac:dyDescent="0.2">
      <c r="A630" s="1077" t="s">
        <v>2333</v>
      </c>
      <c r="B630" s="1078" t="s">
        <v>2334</v>
      </c>
      <c r="C630" s="1079" t="s">
        <v>1444</v>
      </c>
      <c r="D630" s="1080" t="s">
        <v>2348</v>
      </c>
      <c r="E630" s="1081">
        <v>2300</v>
      </c>
      <c r="F630" s="1082">
        <v>16689607</v>
      </c>
      <c r="G630" s="1083" t="s">
        <v>2524</v>
      </c>
      <c r="H630" s="1083" t="s">
        <v>2350</v>
      </c>
      <c r="I630" s="1084" t="s">
        <v>2338</v>
      </c>
      <c r="J630" s="1085" t="s">
        <v>2350</v>
      </c>
      <c r="K630" s="1086">
        <v>0</v>
      </c>
      <c r="L630" s="1087">
        <v>12</v>
      </c>
      <c r="M630" s="1088">
        <f t="shared" si="18"/>
        <v>27600</v>
      </c>
      <c r="N630" s="1077">
        <v>0</v>
      </c>
      <c r="O630" s="1078">
        <v>6</v>
      </c>
      <c r="P630" s="1089">
        <f t="shared" si="19"/>
        <v>13800</v>
      </c>
    </row>
    <row r="631" spans="1:16" ht="15" x14ac:dyDescent="0.2">
      <c r="A631" s="1077" t="s">
        <v>2333</v>
      </c>
      <c r="B631" s="1078" t="s">
        <v>2334</v>
      </c>
      <c r="C631" s="1079" t="s">
        <v>1444</v>
      </c>
      <c r="D631" s="1080" t="s">
        <v>2372</v>
      </c>
      <c r="E631" s="1081">
        <v>1400</v>
      </c>
      <c r="F631" s="1082">
        <v>41367378</v>
      </c>
      <c r="G631" s="1083" t="s">
        <v>2525</v>
      </c>
      <c r="H631" s="1083" t="s">
        <v>2372</v>
      </c>
      <c r="I631" s="1084" t="s">
        <v>2338</v>
      </c>
      <c r="J631" s="1085" t="s">
        <v>2372</v>
      </c>
      <c r="K631" s="1086">
        <v>0</v>
      </c>
      <c r="L631" s="1087">
        <v>12</v>
      </c>
      <c r="M631" s="1088">
        <f t="shared" si="18"/>
        <v>16800</v>
      </c>
      <c r="N631" s="1077">
        <v>0</v>
      </c>
      <c r="O631" s="1078">
        <v>6</v>
      </c>
      <c r="P631" s="1089">
        <f t="shared" si="19"/>
        <v>8400</v>
      </c>
    </row>
    <row r="632" spans="1:16" ht="15" x14ac:dyDescent="0.2">
      <c r="A632" s="1077" t="s">
        <v>2333</v>
      </c>
      <c r="B632" s="1078" t="s">
        <v>2334</v>
      </c>
      <c r="C632" s="1079" t="s">
        <v>1444</v>
      </c>
      <c r="D632" s="1080" t="s">
        <v>2362</v>
      </c>
      <c r="E632" s="1081">
        <v>1200</v>
      </c>
      <c r="F632" s="1082">
        <v>8915384</v>
      </c>
      <c r="G632" s="1083" t="s">
        <v>2526</v>
      </c>
      <c r="H632" s="1083" t="s">
        <v>2364</v>
      </c>
      <c r="I632" s="1084" t="s">
        <v>2338</v>
      </c>
      <c r="J632" s="1085" t="s">
        <v>2364</v>
      </c>
      <c r="K632" s="1086">
        <v>0</v>
      </c>
      <c r="L632" s="1087">
        <v>12</v>
      </c>
      <c r="M632" s="1088">
        <f t="shared" si="18"/>
        <v>14400</v>
      </c>
      <c r="N632" s="1077">
        <v>0</v>
      </c>
      <c r="O632" s="1078">
        <v>6</v>
      </c>
      <c r="P632" s="1089">
        <f t="shared" si="19"/>
        <v>7200</v>
      </c>
    </row>
    <row r="633" spans="1:16" ht="15" x14ac:dyDescent="0.2">
      <c r="A633" s="1077" t="s">
        <v>2333</v>
      </c>
      <c r="B633" s="1078" t="s">
        <v>2334</v>
      </c>
      <c r="C633" s="1079" t="s">
        <v>1444</v>
      </c>
      <c r="D633" s="1080" t="s">
        <v>2527</v>
      </c>
      <c r="E633" s="1081">
        <v>1400</v>
      </c>
      <c r="F633" s="1082">
        <v>8542635</v>
      </c>
      <c r="G633" s="1083" t="s">
        <v>2528</v>
      </c>
      <c r="H633" s="1083" t="s">
        <v>1651</v>
      </c>
      <c r="I633" s="1084" t="s">
        <v>2338</v>
      </c>
      <c r="J633" s="1085" t="s">
        <v>1651</v>
      </c>
      <c r="K633" s="1086">
        <v>0</v>
      </c>
      <c r="L633" s="1087">
        <v>12</v>
      </c>
      <c r="M633" s="1088">
        <f t="shared" si="18"/>
        <v>16800</v>
      </c>
      <c r="N633" s="1077">
        <v>0</v>
      </c>
      <c r="O633" s="1078">
        <v>6</v>
      </c>
      <c r="P633" s="1089">
        <f t="shared" si="19"/>
        <v>8400</v>
      </c>
    </row>
    <row r="634" spans="1:16" ht="15" x14ac:dyDescent="0.2">
      <c r="A634" s="1077" t="s">
        <v>2333</v>
      </c>
      <c r="B634" s="1078" t="s">
        <v>2334</v>
      </c>
      <c r="C634" s="1079" t="s">
        <v>1444</v>
      </c>
      <c r="D634" s="1080" t="s">
        <v>2410</v>
      </c>
      <c r="E634" s="1081">
        <v>2800</v>
      </c>
      <c r="F634" s="1082">
        <v>10143235</v>
      </c>
      <c r="G634" s="1083" t="s">
        <v>2529</v>
      </c>
      <c r="H634" s="1083" t="s">
        <v>1811</v>
      </c>
      <c r="I634" s="1084" t="s">
        <v>2338</v>
      </c>
      <c r="J634" s="1085" t="s">
        <v>1811</v>
      </c>
      <c r="K634" s="1086">
        <v>0</v>
      </c>
      <c r="L634" s="1087">
        <v>12</v>
      </c>
      <c r="M634" s="1088">
        <f t="shared" si="18"/>
        <v>33600</v>
      </c>
      <c r="N634" s="1077">
        <v>0</v>
      </c>
      <c r="O634" s="1078">
        <v>6</v>
      </c>
      <c r="P634" s="1089">
        <f t="shared" si="19"/>
        <v>16800</v>
      </c>
    </row>
    <row r="635" spans="1:16" ht="15" x14ac:dyDescent="0.2">
      <c r="A635" s="1077" t="s">
        <v>2333</v>
      </c>
      <c r="B635" s="1078" t="s">
        <v>2334</v>
      </c>
      <c r="C635" s="1079" t="s">
        <v>1444</v>
      </c>
      <c r="D635" s="1080" t="s">
        <v>2351</v>
      </c>
      <c r="E635" s="1081">
        <v>1100</v>
      </c>
      <c r="F635" s="1082">
        <v>46712578</v>
      </c>
      <c r="G635" s="1083" t="s">
        <v>2530</v>
      </c>
      <c r="H635" s="1083" t="s">
        <v>2353</v>
      </c>
      <c r="I635" s="1084" t="s">
        <v>2338</v>
      </c>
      <c r="J635" s="1085" t="s">
        <v>2353</v>
      </c>
      <c r="K635" s="1086">
        <v>0</v>
      </c>
      <c r="L635" s="1087">
        <v>12</v>
      </c>
      <c r="M635" s="1088">
        <f t="shared" si="18"/>
        <v>13200</v>
      </c>
      <c r="N635" s="1077">
        <v>0</v>
      </c>
      <c r="O635" s="1078">
        <v>6</v>
      </c>
      <c r="P635" s="1089">
        <f t="shared" si="19"/>
        <v>6600</v>
      </c>
    </row>
    <row r="636" spans="1:16" ht="15" x14ac:dyDescent="0.2">
      <c r="A636" s="1077" t="s">
        <v>2333</v>
      </c>
      <c r="B636" s="1078" t="s">
        <v>2334</v>
      </c>
      <c r="C636" s="1079" t="s">
        <v>1444</v>
      </c>
      <c r="D636" s="1080" t="s">
        <v>2498</v>
      </c>
      <c r="E636" s="1081">
        <v>2300</v>
      </c>
      <c r="F636" s="1082">
        <v>46345647</v>
      </c>
      <c r="G636" s="1083" t="s">
        <v>2531</v>
      </c>
      <c r="H636" s="1083" t="s">
        <v>2337</v>
      </c>
      <c r="I636" s="1084" t="s">
        <v>2338</v>
      </c>
      <c r="J636" s="1085" t="s">
        <v>2337</v>
      </c>
      <c r="K636" s="1086">
        <v>0</v>
      </c>
      <c r="L636" s="1087">
        <v>12</v>
      </c>
      <c r="M636" s="1088">
        <f t="shared" si="18"/>
        <v>27600</v>
      </c>
      <c r="N636" s="1077">
        <v>0</v>
      </c>
      <c r="O636" s="1078">
        <v>6</v>
      </c>
      <c r="P636" s="1089">
        <f t="shared" si="19"/>
        <v>13800</v>
      </c>
    </row>
    <row r="637" spans="1:16" ht="15" x14ac:dyDescent="0.2">
      <c r="A637" s="1077" t="s">
        <v>2333</v>
      </c>
      <c r="B637" s="1078" t="s">
        <v>2334</v>
      </c>
      <c r="C637" s="1079" t="s">
        <v>1444</v>
      </c>
      <c r="D637" s="1080" t="s">
        <v>2424</v>
      </c>
      <c r="E637" s="1081">
        <v>1100</v>
      </c>
      <c r="F637" s="1082">
        <v>25694961</v>
      </c>
      <c r="G637" s="1083" t="s">
        <v>2532</v>
      </c>
      <c r="H637" s="1083" t="s">
        <v>2368</v>
      </c>
      <c r="I637" s="1084" t="s">
        <v>2338</v>
      </c>
      <c r="J637" s="1085" t="s">
        <v>2368</v>
      </c>
      <c r="K637" s="1086">
        <v>0</v>
      </c>
      <c r="L637" s="1087">
        <v>12</v>
      </c>
      <c r="M637" s="1088">
        <f t="shared" si="18"/>
        <v>13200</v>
      </c>
      <c r="N637" s="1077">
        <v>0</v>
      </c>
      <c r="O637" s="1078">
        <v>6</v>
      </c>
      <c r="P637" s="1089">
        <f t="shared" si="19"/>
        <v>6600</v>
      </c>
    </row>
    <row r="638" spans="1:16" ht="15" x14ac:dyDescent="0.2">
      <c r="A638" s="1077" t="s">
        <v>2333</v>
      </c>
      <c r="B638" s="1078" t="s">
        <v>2334</v>
      </c>
      <c r="C638" s="1079" t="s">
        <v>1444</v>
      </c>
      <c r="D638" s="1080" t="s">
        <v>2533</v>
      </c>
      <c r="E638" s="1081">
        <v>2200</v>
      </c>
      <c r="F638" s="1082">
        <v>45157154</v>
      </c>
      <c r="G638" s="1083" t="s">
        <v>2534</v>
      </c>
      <c r="H638" s="1083" t="s">
        <v>2535</v>
      </c>
      <c r="I638" s="1084" t="s">
        <v>2338</v>
      </c>
      <c r="J638" s="1085" t="s">
        <v>2535</v>
      </c>
      <c r="K638" s="1086">
        <v>0</v>
      </c>
      <c r="L638" s="1087">
        <v>12</v>
      </c>
      <c r="M638" s="1088">
        <f t="shared" si="18"/>
        <v>26400</v>
      </c>
      <c r="N638" s="1077">
        <v>0</v>
      </c>
      <c r="O638" s="1078">
        <v>6</v>
      </c>
      <c r="P638" s="1089">
        <f t="shared" si="19"/>
        <v>13200</v>
      </c>
    </row>
    <row r="639" spans="1:16" ht="15" x14ac:dyDescent="0.2">
      <c r="A639" s="1077" t="s">
        <v>2333</v>
      </c>
      <c r="B639" s="1078" t="s">
        <v>2334</v>
      </c>
      <c r="C639" s="1079" t="s">
        <v>1444</v>
      </c>
      <c r="D639" s="1080" t="s">
        <v>2498</v>
      </c>
      <c r="E639" s="1081">
        <v>2300</v>
      </c>
      <c r="F639" s="1082">
        <v>45864409</v>
      </c>
      <c r="G639" s="1083" t="s">
        <v>2536</v>
      </c>
      <c r="H639" s="1083" t="s">
        <v>2337</v>
      </c>
      <c r="I639" s="1084" t="s">
        <v>2338</v>
      </c>
      <c r="J639" s="1085" t="s">
        <v>2337</v>
      </c>
      <c r="K639" s="1086">
        <v>0</v>
      </c>
      <c r="L639" s="1087">
        <v>12</v>
      </c>
      <c r="M639" s="1088">
        <f t="shared" si="18"/>
        <v>27600</v>
      </c>
      <c r="N639" s="1077">
        <v>0</v>
      </c>
      <c r="O639" s="1078">
        <v>6</v>
      </c>
      <c r="P639" s="1089">
        <f t="shared" si="19"/>
        <v>13800</v>
      </c>
    </row>
    <row r="640" spans="1:16" ht="15" x14ac:dyDescent="0.2">
      <c r="A640" s="1077" t="s">
        <v>2333</v>
      </c>
      <c r="B640" s="1078" t="s">
        <v>2334</v>
      </c>
      <c r="C640" s="1079" t="s">
        <v>1444</v>
      </c>
      <c r="D640" s="1080" t="s">
        <v>2537</v>
      </c>
      <c r="E640" s="1081">
        <v>1300</v>
      </c>
      <c r="F640" s="1082">
        <v>9538908</v>
      </c>
      <c r="G640" s="1083" t="s">
        <v>2538</v>
      </c>
      <c r="H640" s="1083" t="s">
        <v>613</v>
      </c>
      <c r="I640" s="1084" t="s">
        <v>2338</v>
      </c>
      <c r="J640" s="1085" t="s">
        <v>613</v>
      </c>
      <c r="K640" s="1086">
        <v>0</v>
      </c>
      <c r="L640" s="1087">
        <v>12</v>
      </c>
      <c r="M640" s="1088">
        <f t="shared" si="18"/>
        <v>15600</v>
      </c>
      <c r="N640" s="1077">
        <v>0</v>
      </c>
      <c r="O640" s="1078">
        <v>6</v>
      </c>
      <c r="P640" s="1089">
        <f t="shared" si="19"/>
        <v>7800</v>
      </c>
    </row>
    <row r="641" spans="1:16" ht="15" x14ac:dyDescent="0.2">
      <c r="A641" s="1077" t="s">
        <v>2333</v>
      </c>
      <c r="B641" s="1078" t="s">
        <v>2334</v>
      </c>
      <c r="C641" s="1079" t="s">
        <v>1444</v>
      </c>
      <c r="D641" s="1090" t="s">
        <v>2436</v>
      </c>
      <c r="E641" s="1081">
        <v>2300</v>
      </c>
      <c r="F641" s="1091">
        <v>70053179</v>
      </c>
      <c r="G641" s="1083" t="s">
        <v>2539</v>
      </c>
      <c r="H641" s="1092" t="s">
        <v>2438</v>
      </c>
      <c r="I641" s="1084" t="s">
        <v>2338</v>
      </c>
      <c r="J641" s="1093" t="s">
        <v>2438</v>
      </c>
      <c r="K641" s="1086">
        <v>0</v>
      </c>
      <c r="L641" s="1087">
        <v>12</v>
      </c>
      <c r="M641" s="1088">
        <f t="shared" si="18"/>
        <v>27600</v>
      </c>
      <c r="N641" s="1077">
        <v>0</v>
      </c>
      <c r="O641" s="1078">
        <v>6</v>
      </c>
      <c r="P641" s="1089">
        <f t="shared" si="19"/>
        <v>13800</v>
      </c>
    </row>
    <row r="642" spans="1:16" ht="15" x14ac:dyDescent="0.2">
      <c r="A642" s="1077" t="s">
        <v>2333</v>
      </c>
      <c r="B642" s="1078" t="s">
        <v>2334</v>
      </c>
      <c r="C642" s="1079" t="s">
        <v>1444</v>
      </c>
      <c r="D642" s="1080" t="s">
        <v>2358</v>
      </c>
      <c r="E642" s="1081">
        <v>1400</v>
      </c>
      <c r="F642" s="1082">
        <v>25826321</v>
      </c>
      <c r="G642" s="1083" t="s">
        <v>2540</v>
      </c>
      <c r="H642" s="1083" t="s">
        <v>2541</v>
      </c>
      <c r="I642" s="1084" t="s">
        <v>2338</v>
      </c>
      <c r="J642" s="1085" t="s">
        <v>2541</v>
      </c>
      <c r="K642" s="1086">
        <v>0</v>
      </c>
      <c r="L642" s="1087">
        <v>12</v>
      </c>
      <c r="M642" s="1088">
        <f t="shared" ref="M642:M705" si="20">L642*E642</f>
        <v>16800</v>
      </c>
      <c r="N642" s="1077">
        <v>0</v>
      </c>
      <c r="O642" s="1078">
        <v>6</v>
      </c>
      <c r="P642" s="1089">
        <f t="shared" ref="P642:P705" si="21">O642*E642</f>
        <v>8400</v>
      </c>
    </row>
    <row r="643" spans="1:16" ht="15" x14ac:dyDescent="0.2">
      <c r="A643" s="1077" t="s">
        <v>2333</v>
      </c>
      <c r="B643" s="1078" t="s">
        <v>2334</v>
      </c>
      <c r="C643" s="1079" t="s">
        <v>1444</v>
      </c>
      <c r="D643" s="1080" t="s">
        <v>2517</v>
      </c>
      <c r="E643" s="1081">
        <v>1100</v>
      </c>
      <c r="F643" s="1082">
        <v>25850247</v>
      </c>
      <c r="G643" s="1083" t="s">
        <v>2542</v>
      </c>
      <c r="H643" s="1083" t="s">
        <v>2543</v>
      </c>
      <c r="I643" s="1084" t="s">
        <v>2338</v>
      </c>
      <c r="J643" s="1085" t="s">
        <v>2543</v>
      </c>
      <c r="K643" s="1086">
        <v>0</v>
      </c>
      <c r="L643" s="1087">
        <v>12</v>
      </c>
      <c r="M643" s="1088">
        <f t="shared" si="20"/>
        <v>13200</v>
      </c>
      <c r="N643" s="1077">
        <v>0</v>
      </c>
      <c r="O643" s="1078">
        <v>6</v>
      </c>
      <c r="P643" s="1089">
        <f t="shared" si="21"/>
        <v>6600</v>
      </c>
    </row>
    <row r="644" spans="1:16" ht="15" x14ac:dyDescent="0.2">
      <c r="A644" s="1077" t="s">
        <v>2333</v>
      </c>
      <c r="B644" s="1078" t="s">
        <v>2334</v>
      </c>
      <c r="C644" s="1079" t="s">
        <v>1444</v>
      </c>
      <c r="D644" s="1080" t="s">
        <v>2356</v>
      </c>
      <c r="E644" s="1081">
        <v>1800</v>
      </c>
      <c r="F644" s="1082">
        <v>6066457</v>
      </c>
      <c r="G644" s="1083" t="s">
        <v>2544</v>
      </c>
      <c r="H644" s="1083" t="s">
        <v>542</v>
      </c>
      <c r="I644" s="1084" t="s">
        <v>2338</v>
      </c>
      <c r="J644" s="1085" t="s">
        <v>542</v>
      </c>
      <c r="K644" s="1086">
        <v>0</v>
      </c>
      <c r="L644" s="1087">
        <v>12</v>
      </c>
      <c r="M644" s="1088">
        <f t="shared" si="20"/>
        <v>21600</v>
      </c>
      <c r="N644" s="1077">
        <v>0</v>
      </c>
      <c r="O644" s="1078">
        <v>6</v>
      </c>
      <c r="P644" s="1089">
        <f t="shared" si="21"/>
        <v>10800</v>
      </c>
    </row>
    <row r="645" spans="1:16" ht="15" x14ac:dyDescent="0.2">
      <c r="A645" s="1077" t="s">
        <v>2333</v>
      </c>
      <c r="B645" s="1078" t="s">
        <v>2334</v>
      </c>
      <c r="C645" s="1079" t="s">
        <v>1444</v>
      </c>
      <c r="D645" s="1080" t="s">
        <v>2545</v>
      </c>
      <c r="E645" s="1081">
        <v>1400</v>
      </c>
      <c r="F645" s="1082">
        <v>45980099</v>
      </c>
      <c r="G645" s="1083" t="s">
        <v>2546</v>
      </c>
      <c r="H645" s="1083" t="s">
        <v>1651</v>
      </c>
      <c r="I645" s="1084" t="s">
        <v>2338</v>
      </c>
      <c r="J645" s="1085" t="s">
        <v>1651</v>
      </c>
      <c r="K645" s="1086">
        <v>0</v>
      </c>
      <c r="L645" s="1087">
        <v>12</v>
      </c>
      <c r="M645" s="1088">
        <f t="shared" si="20"/>
        <v>16800</v>
      </c>
      <c r="N645" s="1077">
        <v>0</v>
      </c>
      <c r="O645" s="1078">
        <v>6</v>
      </c>
      <c r="P645" s="1089">
        <f t="shared" si="21"/>
        <v>8400</v>
      </c>
    </row>
    <row r="646" spans="1:16" ht="15" x14ac:dyDescent="0.2">
      <c r="A646" s="1077" t="s">
        <v>2333</v>
      </c>
      <c r="B646" s="1078" t="s">
        <v>2334</v>
      </c>
      <c r="C646" s="1079" t="s">
        <v>1444</v>
      </c>
      <c r="D646" s="1080" t="s">
        <v>2498</v>
      </c>
      <c r="E646" s="1081">
        <v>1400</v>
      </c>
      <c r="F646" s="1082">
        <v>40863198</v>
      </c>
      <c r="G646" s="1083" t="s">
        <v>2547</v>
      </c>
      <c r="H646" s="1083" t="s">
        <v>1651</v>
      </c>
      <c r="I646" s="1084" t="s">
        <v>2338</v>
      </c>
      <c r="J646" s="1085" t="s">
        <v>1651</v>
      </c>
      <c r="K646" s="1086">
        <v>0</v>
      </c>
      <c r="L646" s="1087">
        <v>12</v>
      </c>
      <c r="M646" s="1088">
        <f t="shared" si="20"/>
        <v>16800</v>
      </c>
      <c r="N646" s="1077">
        <v>0</v>
      </c>
      <c r="O646" s="1078">
        <v>6</v>
      </c>
      <c r="P646" s="1089">
        <f t="shared" si="21"/>
        <v>8400</v>
      </c>
    </row>
    <row r="647" spans="1:16" ht="15" x14ac:dyDescent="0.2">
      <c r="A647" s="1077" t="s">
        <v>2333</v>
      </c>
      <c r="B647" s="1078" t="s">
        <v>2334</v>
      </c>
      <c r="C647" s="1079" t="s">
        <v>1444</v>
      </c>
      <c r="D647" s="1080" t="s">
        <v>2351</v>
      </c>
      <c r="E647" s="1081">
        <v>1100</v>
      </c>
      <c r="F647" s="1082">
        <v>41684662</v>
      </c>
      <c r="G647" s="1083" t="s">
        <v>2548</v>
      </c>
      <c r="H647" s="1083" t="s">
        <v>2368</v>
      </c>
      <c r="I647" s="1084" t="s">
        <v>2338</v>
      </c>
      <c r="J647" s="1085" t="s">
        <v>2368</v>
      </c>
      <c r="K647" s="1086">
        <v>0</v>
      </c>
      <c r="L647" s="1087">
        <v>12</v>
      </c>
      <c r="M647" s="1088">
        <f t="shared" si="20"/>
        <v>13200</v>
      </c>
      <c r="N647" s="1077">
        <v>0</v>
      </c>
      <c r="O647" s="1078">
        <v>6</v>
      </c>
      <c r="P647" s="1089">
        <f t="shared" si="21"/>
        <v>6600</v>
      </c>
    </row>
    <row r="648" spans="1:16" ht="15" x14ac:dyDescent="0.2">
      <c r="A648" s="1077" t="s">
        <v>2333</v>
      </c>
      <c r="B648" s="1078" t="s">
        <v>2334</v>
      </c>
      <c r="C648" s="1079" t="s">
        <v>1444</v>
      </c>
      <c r="D648" s="1080" t="s">
        <v>2549</v>
      </c>
      <c r="E648" s="1081">
        <v>2800</v>
      </c>
      <c r="F648" s="1082">
        <v>44800769</v>
      </c>
      <c r="G648" s="1083" t="s">
        <v>2550</v>
      </c>
      <c r="H648" s="1083" t="s">
        <v>2337</v>
      </c>
      <c r="I648" s="1084" t="s">
        <v>2338</v>
      </c>
      <c r="J648" s="1085" t="s">
        <v>2337</v>
      </c>
      <c r="K648" s="1086">
        <v>0</v>
      </c>
      <c r="L648" s="1087">
        <v>12</v>
      </c>
      <c r="M648" s="1088">
        <f t="shared" si="20"/>
        <v>33600</v>
      </c>
      <c r="N648" s="1077">
        <v>0</v>
      </c>
      <c r="O648" s="1078">
        <v>6</v>
      </c>
      <c r="P648" s="1089">
        <f t="shared" si="21"/>
        <v>16800</v>
      </c>
    </row>
    <row r="649" spans="1:16" ht="15" x14ac:dyDescent="0.2">
      <c r="A649" s="1077" t="s">
        <v>2333</v>
      </c>
      <c r="B649" s="1078" t="s">
        <v>2334</v>
      </c>
      <c r="C649" s="1079" t="s">
        <v>1444</v>
      </c>
      <c r="D649" s="1080" t="s">
        <v>2374</v>
      </c>
      <c r="E649" s="1081">
        <v>2300</v>
      </c>
      <c r="F649" s="1082">
        <v>44830794</v>
      </c>
      <c r="G649" s="1083" t="s">
        <v>2551</v>
      </c>
      <c r="H649" s="1083" t="s">
        <v>2376</v>
      </c>
      <c r="I649" s="1084" t="s">
        <v>2338</v>
      </c>
      <c r="J649" s="1085" t="s">
        <v>2376</v>
      </c>
      <c r="K649" s="1086">
        <v>0</v>
      </c>
      <c r="L649" s="1087">
        <v>12</v>
      </c>
      <c r="M649" s="1088">
        <f t="shared" si="20"/>
        <v>27600</v>
      </c>
      <c r="N649" s="1077">
        <v>0</v>
      </c>
      <c r="O649" s="1078">
        <v>6</v>
      </c>
      <c r="P649" s="1089">
        <f t="shared" si="21"/>
        <v>13800</v>
      </c>
    </row>
    <row r="650" spans="1:16" ht="15" x14ac:dyDescent="0.2">
      <c r="A650" s="1077" t="s">
        <v>2333</v>
      </c>
      <c r="B650" s="1078" t="s">
        <v>2334</v>
      </c>
      <c r="C650" s="1079" t="s">
        <v>1444</v>
      </c>
      <c r="D650" s="1080" t="s">
        <v>2341</v>
      </c>
      <c r="E650" s="1081">
        <v>5500</v>
      </c>
      <c r="F650" s="1082">
        <v>10683729</v>
      </c>
      <c r="G650" s="1083" t="s">
        <v>2552</v>
      </c>
      <c r="H650" s="1083" t="s">
        <v>2553</v>
      </c>
      <c r="I650" s="1084" t="s">
        <v>2338</v>
      </c>
      <c r="J650" s="1085" t="s">
        <v>2553</v>
      </c>
      <c r="K650" s="1086">
        <v>0</v>
      </c>
      <c r="L650" s="1087">
        <v>12</v>
      </c>
      <c r="M650" s="1088">
        <f t="shared" si="20"/>
        <v>66000</v>
      </c>
      <c r="N650" s="1077">
        <v>0</v>
      </c>
      <c r="O650" s="1078">
        <v>6</v>
      </c>
      <c r="P650" s="1089">
        <f t="shared" si="21"/>
        <v>33000</v>
      </c>
    </row>
    <row r="651" spans="1:16" ht="15" x14ac:dyDescent="0.2">
      <c r="A651" s="1077" t="s">
        <v>2333</v>
      </c>
      <c r="B651" s="1078" t="s">
        <v>2334</v>
      </c>
      <c r="C651" s="1079" t="s">
        <v>1444</v>
      </c>
      <c r="D651" s="1080" t="s">
        <v>2498</v>
      </c>
      <c r="E651" s="1081">
        <v>2300</v>
      </c>
      <c r="F651" s="1082">
        <v>42675288</v>
      </c>
      <c r="G651" s="1083" t="s">
        <v>2554</v>
      </c>
      <c r="H651" s="1083" t="s">
        <v>2337</v>
      </c>
      <c r="I651" s="1084" t="s">
        <v>2338</v>
      </c>
      <c r="J651" s="1085" t="s">
        <v>2337</v>
      </c>
      <c r="K651" s="1086">
        <v>0</v>
      </c>
      <c r="L651" s="1087">
        <v>12</v>
      </c>
      <c r="M651" s="1088">
        <f t="shared" si="20"/>
        <v>27600</v>
      </c>
      <c r="N651" s="1077">
        <v>0</v>
      </c>
      <c r="O651" s="1078">
        <v>6</v>
      </c>
      <c r="P651" s="1089">
        <f t="shared" si="21"/>
        <v>13800</v>
      </c>
    </row>
    <row r="652" spans="1:16" ht="15" x14ac:dyDescent="0.2">
      <c r="A652" s="1077" t="s">
        <v>2333</v>
      </c>
      <c r="B652" s="1078" t="s">
        <v>2334</v>
      </c>
      <c r="C652" s="1079" t="s">
        <v>1444</v>
      </c>
      <c r="D652" s="1080" t="s">
        <v>2555</v>
      </c>
      <c r="E652" s="1081">
        <v>1400</v>
      </c>
      <c r="F652" s="1082">
        <v>40869479</v>
      </c>
      <c r="G652" s="1083" t="s">
        <v>2556</v>
      </c>
      <c r="H652" s="1083" t="s">
        <v>1651</v>
      </c>
      <c r="I652" s="1084" t="s">
        <v>2338</v>
      </c>
      <c r="J652" s="1085" t="s">
        <v>1651</v>
      </c>
      <c r="K652" s="1086">
        <v>0</v>
      </c>
      <c r="L652" s="1087">
        <v>12</v>
      </c>
      <c r="M652" s="1088">
        <f t="shared" si="20"/>
        <v>16800</v>
      </c>
      <c r="N652" s="1077">
        <v>0</v>
      </c>
      <c r="O652" s="1078">
        <v>6</v>
      </c>
      <c r="P652" s="1089">
        <f t="shared" si="21"/>
        <v>8400</v>
      </c>
    </row>
    <row r="653" spans="1:16" ht="15" x14ac:dyDescent="0.2">
      <c r="A653" s="1077" t="s">
        <v>2333</v>
      </c>
      <c r="B653" s="1078" t="s">
        <v>2334</v>
      </c>
      <c r="C653" s="1079" t="s">
        <v>1444</v>
      </c>
      <c r="D653" s="1080" t="s">
        <v>2498</v>
      </c>
      <c r="E653" s="1081">
        <v>1400</v>
      </c>
      <c r="F653" s="1082">
        <v>25687191</v>
      </c>
      <c r="G653" s="1083" t="s">
        <v>2557</v>
      </c>
      <c r="H653" s="1083" t="s">
        <v>1651</v>
      </c>
      <c r="I653" s="1084" t="s">
        <v>2338</v>
      </c>
      <c r="J653" s="1085" t="s">
        <v>1651</v>
      </c>
      <c r="K653" s="1086">
        <v>0</v>
      </c>
      <c r="L653" s="1087">
        <v>12</v>
      </c>
      <c r="M653" s="1088">
        <f t="shared" si="20"/>
        <v>16800</v>
      </c>
      <c r="N653" s="1077">
        <v>0</v>
      </c>
      <c r="O653" s="1078">
        <v>6</v>
      </c>
      <c r="P653" s="1089">
        <f t="shared" si="21"/>
        <v>8400</v>
      </c>
    </row>
    <row r="654" spans="1:16" ht="15" x14ac:dyDescent="0.2">
      <c r="A654" s="1077" t="s">
        <v>2333</v>
      </c>
      <c r="B654" s="1078" t="s">
        <v>2334</v>
      </c>
      <c r="C654" s="1079" t="s">
        <v>1444</v>
      </c>
      <c r="D654" s="1080" t="s">
        <v>2555</v>
      </c>
      <c r="E654" s="1081">
        <v>2300</v>
      </c>
      <c r="F654" s="1082">
        <v>40802922</v>
      </c>
      <c r="G654" s="1083" t="s">
        <v>2558</v>
      </c>
      <c r="H654" s="1083" t="s">
        <v>1643</v>
      </c>
      <c r="I654" s="1084" t="s">
        <v>2338</v>
      </c>
      <c r="J654" s="1085" t="s">
        <v>1643</v>
      </c>
      <c r="K654" s="1086">
        <v>0</v>
      </c>
      <c r="L654" s="1087">
        <v>12</v>
      </c>
      <c r="M654" s="1088">
        <f t="shared" si="20"/>
        <v>27600</v>
      </c>
      <c r="N654" s="1077">
        <v>0</v>
      </c>
      <c r="O654" s="1078">
        <v>6</v>
      </c>
      <c r="P654" s="1089">
        <f t="shared" si="21"/>
        <v>13800</v>
      </c>
    </row>
    <row r="655" spans="1:16" ht="15" x14ac:dyDescent="0.2">
      <c r="A655" s="1077" t="s">
        <v>2333</v>
      </c>
      <c r="B655" s="1078" t="s">
        <v>2334</v>
      </c>
      <c r="C655" s="1079" t="s">
        <v>1444</v>
      </c>
      <c r="D655" s="1080" t="s">
        <v>2410</v>
      </c>
      <c r="E655" s="1081">
        <v>1400</v>
      </c>
      <c r="F655" s="1082">
        <v>27979580</v>
      </c>
      <c r="G655" s="1083" t="s">
        <v>2559</v>
      </c>
      <c r="H655" s="1083" t="s">
        <v>2560</v>
      </c>
      <c r="I655" s="1084" t="s">
        <v>2338</v>
      </c>
      <c r="J655" s="1085" t="s">
        <v>2560</v>
      </c>
      <c r="K655" s="1086">
        <v>0</v>
      </c>
      <c r="L655" s="1087">
        <v>12</v>
      </c>
      <c r="M655" s="1088">
        <f t="shared" si="20"/>
        <v>16800</v>
      </c>
      <c r="N655" s="1077">
        <v>0</v>
      </c>
      <c r="O655" s="1078">
        <v>6</v>
      </c>
      <c r="P655" s="1089">
        <f t="shared" si="21"/>
        <v>8400</v>
      </c>
    </row>
    <row r="656" spans="1:16" ht="15" x14ac:dyDescent="0.2">
      <c r="A656" s="1077" t="s">
        <v>2333</v>
      </c>
      <c r="B656" s="1078" t="s">
        <v>2334</v>
      </c>
      <c r="C656" s="1079" t="s">
        <v>1444</v>
      </c>
      <c r="D656" s="1080" t="s">
        <v>2392</v>
      </c>
      <c r="E656" s="1081">
        <v>1100</v>
      </c>
      <c r="F656" s="1082">
        <v>17441375</v>
      </c>
      <c r="G656" s="1083" t="s">
        <v>2561</v>
      </c>
      <c r="H656" s="1083" t="s">
        <v>2368</v>
      </c>
      <c r="I656" s="1084" t="s">
        <v>2338</v>
      </c>
      <c r="J656" s="1085" t="s">
        <v>2368</v>
      </c>
      <c r="K656" s="1086">
        <v>0</v>
      </c>
      <c r="L656" s="1087">
        <v>12</v>
      </c>
      <c r="M656" s="1088">
        <f t="shared" si="20"/>
        <v>13200</v>
      </c>
      <c r="N656" s="1077">
        <v>0</v>
      </c>
      <c r="O656" s="1078">
        <v>6</v>
      </c>
      <c r="P656" s="1089">
        <f t="shared" si="21"/>
        <v>6600</v>
      </c>
    </row>
    <row r="657" spans="1:16" ht="15" x14ac:dyDescent="0.2">
      <c r="A657" s="1077" t="s">
        <v>2333</v>
      </c>
      <c r="B657" s="1078" t="s">
        <v>2334</v>
      </c>
      <c r="C657" s="1079" t="s">
        <v>1444</v>
      </c>
      <c r="D657" s="1080" t="s">
        <v>2360</v>
      </c>
      <c r="E657" s="1081">
        <v>1200</v>
      </c>
      <c r="F657" s="1082">
        <v>73019993</v>
      </c>
      <c r="G657" s="1096" t="s">
        <v>2562</v>
      </c>
      <c r="H657" s="1083" t="s">
        <v>904</v>
      </c>
      <c r="I657" s="1084" t="s">
        <v>2338</v>
      </c>
      <c r="J657" s="1085" t="s">
        <v>904</v>
      </c>
      <c r="K657" s="1086">
        <v>0</v>
      </c>
      <c r="L657" s="1087">
        <v>12</v>
      </c>
      <c r="M657" s="1088">
        <f t="shared" si="20"/>
        <v>14400</v>
      </c>
      <c r="N657" s="1077">
        <v>0</v>
      </c>
      <c r="O657" s="1078">
        <v>6</v>
      </c>
      <c r="P657" s="1089">
        <f t="shared" si="21"/>
        <v>7200</v>
      </c>
    </row>
    <row r="658" spans="1:16" ht="15" x14ac:dyDescent="0.2">
      <c r="A658" s="1077" t="s">
        <v>2333</v>
      </c>
      <c r="B658" s="1078" t="s">
        <v>2334</v>
      </c>
      <c r="C658" s="1079" t="s">
        <v>1444</v>
      </c>
      <c r="D658" s="1080" t="s">
        <v>2335</v>
      </c>
      <c r="E658" s="1081">
        <v>1400</v>
      </c>
      <c r="F658" s="1082">
        <v>40744478</v>
      </c>
      <c r="G658" s="1083" t="s">
        <v>2563</v>
      </c>
      <c r="H658" s="1083" t="s">
        <v>1651</v>
      </c>
      <c r="I658" s="1084" t="s">
        <v>2338</v>
      </c>
      <c r="J658" s="1085" t="s">
        <v>1651</v>
      </c>
      <c r="K658" s="1086">
        <v>0</v>
      </c>
      <c r="L658" s="1087">
        <v>12</v>
      </c>
      <c r="M658" s="1088">
        <f t="shared" si="20"/>
        <v>16800</v>
      </c>
      <c r="N658" s="1077">
        <v>0</v>
      </c>
      <c r="O658" s="1078">
        <v>6</v>
      </c>
      <c r="P658" s="1089">
        <f t="shared" si="21"/>
        <v>8400</v>
      </c>
    </row>
    <row r="659" spans="1:16" ht="15" x14ac:dyDescent="0.2">
      <c r="A659" s="1077" t="s">
        <v>2333</v>
      </c>
      <c r="B659" s="1078" t="s">
        <v>2334</v>
      </c>
      <c r="C659" s="1079" t="s">
        <v>1444</v>
      </c>
      <c r="D659" s="1080" t="s">
        <v>2356</v>
      </c>
      <c r="E659" s="1081">
        <v>1500</v>
      </c>
      <c r="F659" s="1082">
        <v>42604719</v>
      </c>
      <c r="G659" s="1083" t="s">
        <v>2564</v>
      </c>
      <c r="H659" s="1083" t="s">
        <v>2565</v>
      </c>
      <c r="I659" s="1084" t="s">
        <v>2338</v>
      </c>
      <c r="J659" s="1085" t="s">
        <v>2565</v>
      </c>
      <c r="K659" s="1086">
        <v>0</v>
      </c>
      <c r="L659" s="1087">
        <v>12</v>
      </c>
      <c r="M659" s="1088">
        <f t="shared" si="20"/>
        <v>18000</v>
      </c>
      <c r="N659" s="1077">
        <v>0</v>
      </c>
      <c r="O659" s="1078">
        <v>6</v>
      </c>
      <c r="P659" s="1089">
        <f t="shared" si="21"/>
        <v>9000</v>
      </c>
    </row>
    <row r="660" spans="1:16" ht="15" x14ac:dyDescent="0.2">
      <c r="A660" s="1077" t="s">
        <v>2333</v>
      </c>
      <c r="B660" s="1078" t="s">
        <v>2334</v>
      </c>
      <c r="C660" s="1079" t="s">
        <v>1444</v>
      </c>
      <c r="D660" s="1080" t="s">
        <v>2498</v>
      </c>
      <c r="E660" s="1081">
        <v>1400</v>
      </c>
      <c r="F660" s="1082">
        <v>41272374</v>
      </c>
      <c r="G660" s="1083" t="s">
        <v>2566</v>
      </c>
      <c r="H660" s="1083" t="s">
        <v>1651</v>
      </c>
      <c r="I660" s="1084" t="s">
        <v>2338</v>
      </c>
      <c r="J660" s="1085" t="s">
        <v>1651</v>
      </c>
      <c r="K660" s="1086">
        <v>0</v>
      </c>
      <c r="L660" s="1087">
        <v>12</v>
      </c>
      <c r="M660" s="1088">
        <f t="shared" si="20"/>
        <v>16800</v>
      </c>
      <c r="N660" s="1077">
        <v>0</v>
      </c>
      <c r="O660" s="1078">
        <v>6</v>
      </c>
      <c r="P660" s="1089">
        <f t="shared" si="21"/>
        <v>8400</v>
      </c>
    </row>
    <row r="661" spans="1:16" ht="15" x14ac:dyDescent="0.2">
      <c r="A661" s="1077" t="s">
        <v>2333</v>
      </c>
      <c r="B661" s="1078" t="s">
        <v>2334</v>
      </c>
      <c r="C661" s="1079" t="s">
        <v>1444</v>
      </c>
      <c r="D661" s="1080" t="s">
        <v>2348</v>
      </c>
      <c r="E661" s="1081">
        <v>2300</v>
      </c>
      <c r="F661" s="1082">
        <v>40918937</v>
      </c>
      <c r="G661" s="1083" t="s">
        <v>2567</v>
      </c>
      <c r="H661" s="1083" t="s">
        <v>2350</v>
      </c>
      <c r="I661" s="1084" t="s">
        <v>2338</v>
      </c>
      <c r="J661" s="1085" t="s">
        <v>2350</v>
      </c>
      <c r="K661" s="1086">
        <v>0</v>
      </c>
      <c r="L661" s="1087">
        <v>12</v>
      </c>
      <c r="M661" s="1088">
        <f t="shared" si="20"/>
        <v>27600</v>
      </c>
      <c r="N661" s="1077">
        <v>0</v>
      </c>
      <c r="O661" s="1078">
        <v>6</v>
      </c>
      <c r="P661" s="1089">
        <f t="shared" si="21"/>
        <v>13800</v>
      </c>
    </row>
    <row r="662" spans="1:16" ht="15" x14ac:dyDescent="0.2">
      <c r="A662" s="1077" t="s">
        <v>2333</v>
      </c>
      <c r="B662" s="1078" t="s">
        <v>2334</v>
      </c>
      <c r="C662" s="1079" t="s">
        <v>1444</v>
      </c>
      <c r="D662" s="1080" t="s">
        <v>2498</v>
      </c>
      <c r="E662" s="1081">
        <v>1400</v>
      </c>
      <c r="F662" s="1082">
        <v>7650827</v>
      </c>
      <c r="G662" s="1083" t="s">
        <v>2568</v>
      </c>
      <c r="H662" s="1083" t="s">
        <v>1651</v>
      </c>
      <c r="I662" s="1084" t="s">
        <v>2338</v>
      </c>
      <c r="J662" s="1085" t="s">
        <v>1651</v>
      </c>
      <c r="K662" s="1086">
        <v>0</v>
      </c>
      <c r="L662" s="1087">
        <v>12</v>
      </c>
      <c r="M662" s="1088">
        <f t="shared" si="20"/>
        <v>16800</v>
      </c>
      <c r="N662" s="1077">
        <v>0</v>
      </c>
      <c r="O662" s="1078">
        <v>6</v>
      </c>
      <c r="P662" s="1089">
        <f t="shared" si="21"/>
        <v>8400</v>
      </c>
    </row>
    <row r="663" spans="1:16" ht="15" x14ac:dyDescent="0.2">
      <c r="A663" s="1077" t="s">
        <v>2333</v>
      </c>
      <c r="B663" s="1078" t="s">
        <v>2334</v>
      </c>
      <c r="C663" s="1079" t="s">
        <v>1444</v>
      </c>
      <c r="D663" s="1080" t="s">
        <v>2474</v>
      </c>
      <c r="E663" s="1081">
        <v>2800</v>
      </c>
      <c r="F663" s="1082">
        <v>8576276</v>
      </c>
      <c r="G663" s="1083" t="s">
        <v>2569</v>
      </c>
      <c r="H663" s="1083" t="s">
        <v>2350</v>
      </c>
      <c r="I663" s="1084" t="s">
        <v>2338</v>
      </c>
      <c r="J663" s="1085" t="s">
        <v>2350</v>
      </c>
      <c r="K663" s="1086">
        <v>0</v>
      </c>
      <c r="L663" s="1087">
        <v>12</v>
      </c>
      <c r="M663" s="1088">
        <f t="shared" si="20"/>
        <v>33600</v>
      </c>
      <c r="N663" s="1077">
        <v>0</v>
      </c>
      <c r="O663" s="1078">
        <v>6</v>
      </c>
      <c r="P663" s="1089">
        <f t="shared" si="21"/>
        <v>16800</v>
      </c>
    </row>
    <row r="664" spans="1:16" ht="15" x14ac:dyDescent="0.2">
      <c r="A664" s="1077" t="s">
        <v>2333</v>
      </c>
      <c r="B664" s="1078" t="s">
        <v>2334</v>
      </c>
      <c r="C664" s="1079" t="s">
        <v>1444</v>
      </c>
      <c r="D664" s="1080" t="s">
        <v>2498</v>
      </c>
      <c r="E664" s="1081">
        <v>1400</v>
      </c>
      <c r="F664" s="1082">
        <v>42076174</v>
      </c>
      <c r="G664" s="1083" t="s">
        <v>2570</v>
      </c>
      <c r="H664" s="1083" t="s">
        <v>1651</v>
      </c>
      <c r="I664" s="1084" t="s">
        <v>2338</v>
      </c>
      <c r="J664" s="1085" t="s">
        <v>1651</v>
      </c>
      <c r="K664" s="1086">
        <v>0</v>
      </c>
      <c r="L664" s="1087">
        <v>12</v>
      </c>
      <c r="M664" s="1088">
        <f t="shared" si="20"/>
        <v>16800</v>
      </c>
      <c r="N664" s="1077">
        <v>0</v>
      </c>
      <c r="O664" s="1078">
        <v>6</v>
      </c>
      <c r="P664" s="1089">
        <f t="shared" si="21"/>
        <v>8400</v>
      </c>
    </row>
    <row r="665" spans="1:16" ht="15" x14ac:dyDescent="0.2">
      <c r="A665" s="1077" t="s">
        <v>2333</v>
      </c>
      <c r="B665" s="1078" t="s">
        <v>2334</v>
      </c>
      <c r="C665" s="1079" t="s">
        <v>1444</v>
      </c>
      <c r="D665" s="1080" t="s">
        <v>2517</v>
      </c>
      <c r="E665" s="1081">
        <v>1700</v>
      </c>
      <c r="F665" s="1082">
        <v>25686907</v>
      </c>
      <c r="G665" s="1083" t="s">
        <v>2571</v>
      </c>
      <c r="H665" s="1083" t="s">
        <v>1994</v>
      </c>
      <c r="I665" s="1084" t="s">
        <v>2338</v>
      </c>
      <c r="J665" s="1085" t="s">
        <v>1994</v>
      </c>
      <c r="K665" s="1086">
        <v>0</v>
      </c>
      <c r="L665" s="1087">
        <v>12</v>
      </c>
      <c r="M665" s="1088">
        <f t="shared" si="20"/>
        <v>20400</v>
      </c>
      <c r="N665" s="1077">
        <v>0</v>
      </c>
      <c r="O665" s="1078">
        <v>6</v>
      </c>
      <c r="P665" s="1089">
        <f t="shared" si="21"/>
        <v>10200</v>
      </c>
    </row>
    <row r="666" spans="1:16" ht="15" x14ac:dyDescent="0.2">
      <c r="A666" s="1077" t="s">
        <v>2333</v>
      </c>
      <c r="B666" s="1078" t="s">
        <v>2334</v>
      </c>
      <c r="C666" s="1079" t="s">
        <v>1444</v>
      </c>
      <c r="D666" s="1080" t="s">
        <v>2335</v>
      </c>
      <c r="E666" s="1081">
        <v>1400</v>
      </c>
      <c r="F666" s="1082">
        <v>46876777</v>
      </c>
      <c r="G666" s="1083" t="s">
        <v>2572</v>
      </c>
      <c r="H666" s="1083" t="s">
        <v>1651</v>
      </c>
      <c r="I666" s="1084" t="s">
        <v>2338</v>
      </c>
      <c r="J666" s="1085" t="s">
        <v>1651</v>
      </c>
      <c r="K666" s="1086">
        <v>0</v>
      </c>
      <c r="L666" s="1087">
        <v>12</v>
      </c>
      <c r="M666" s="1088">
        <f t="shared" si="20"/>
        <v>16800</v>
      </c>
      <c r="N666" s="1077">
        <v>0</v>
      </c>
      <c r="O666" s="1078">
        <v>6</v>
      </c>
      <c r="P666" s="1089">
        <f t="shared" si="21"/>
        <v>8400</v>
      </c>
    </row>
    <row r="667" spans="1:16" ht="15" x14ac:dyDescent="0.2">
      <c r="A667" s="1077" t="s">
        <v>2333</v>
      </c>
      <c r="B667" s="1078" t="s">
        <v>2334</v>
      </c>
      <c r="C667" s="1079" t="s">
        <v>1444</v>
      </c>
      <c r="D667" s="1080" t="s">
        <v>2348</v>
      </c>
      <c r="E667" s="1081">
        <v>2800</v>
      </c>
      <c r="F667" s="1082">
        <v>42343872</v>
      </c>
      <c r="G667" s="1083" t="s">
        <v>2573</v>
      </c>
      <c r="H667" s="1083" t="s">
        <v>2423</v>
      </c>
      <c r="I667" s="1084" t="s">
        <v>2338</v>
      </c>
      <c r="J667" s="1085" t="s">
        <v>2423</v>
      </c>
      <c r="K667" s="1086">
        <v>0</v>
      </c>
      <c r="L667" s="1087">
        <v>12</v>
      </c>
      <c r="M667" s="1088">
        <f t="shared" si="20"/>
        <v>33600</v>
      </c>
      <c r="N667" s="1077">
        <v>0</v>
      </c>
      <c r="O667" s="1078">
        <v>6</v>
      </c>
      <c r="P667" s="1089">
        <f t="shared" si="21"/>
        <v>16800</v>
      </c>
    </row>
    <row r="668" spans="1:16" ht="15" x14ac:dyDescent="0.2">
      <c r="A668" s="1077" t="s">
        <v>2333</v>
      </c>
      <c r="B668" s="1078" t="s">
        <v>2334</v>
      </c>
      <c r="C668" s="1079" t="s">
        <v>1444</v>
      </c>
      <c r="D668" s="1080" t="s">
        <v>2505</v>
      </c>
      <c r="E668" s="1081">
        <v>1400</v>
      </c>
      <c r="F668" s="1082">
        <v>8027038</v>
      </c>
      <c r="G668" s="1083" t="s">
        <v>2574</v>
      </c>
      <c r="H668" s="1083" t="s">
        <v>1651</v>
      </c>
      <c r="I668" s="1084" t="s">
        <v>2338</v>
      </c>
      <c r="J668" s="1085" t="s">
        <v>1651</v>
      </c>
      <c r="K668" s="1086">
        <v>0</v>
      </c>
      <c r="L668" s="1087">
        <v>12</v>
      </c>
      <c r="M668" s="1088">
        <f t="shared" si="20"/>
        <v>16800</v>
      </c>
      <c r="N668" s="1077">
        <v>0</v>
      </c>
      <c r="O668" s="1078">
        <v>6</v>
      </c>
      <c r="P668" s="1089">
        <f t="shared" si="21"/>
        <v>8400</v>
      </c>
    </row>
    <row r="669" spans="1:16" ht="15" x14ac:dyDescent="0.2">
      <c r="A669" s="1077" t="s">
        <v>2333</v>
      </c>
      <c r="B669" s="1078" t="s">
        <v>2334</v>
      </c>
      <c r="C669" s="1079" t="s">
        <v>1444</v>
      </c>
      <c r="D669" s="1080" t="s">
        <v>2424</v>
      </c>
      <c r="E669" s="1081">
        <v>3000</v>
      </c>
      <c r="F669" s="1082">
        <v>25689429</v>
      </c>
      <c r="G669" s="1083" t="s">
        <v>2575</v>
      </c>
      <c r="H669" s="1083" t="s">
        <v>2576</v>
      </c>
      <c r="I669" s="1084" t="s">
        <v>2338</v>
      </c>
      <c r="J669" s="1085" t="s">
        <v>2576</v>
      </c>
      <c r="K669" s="1086">
        <v>0</v>
      </c>
      <c r="L669" s="1087">
        <v>12</v>
      </c>
      <c r="M669" s="1088">
        <f t="shared" si="20"/>
        <v>36000</v>
      </c>
      <c r="N669" s="1077">
        <v>0</v>
      </c>
      <c r="O669" s="1078">
        <v>6</v>
      </c>
      <c r="P669" s="1089">
        <f t="shared" si="21"/>
        <v>18000</v>
      </c>
    </row>
    <row r="670" spans="1:16" ht="15" x14ac:dyDescent="0.2">
      <c r="A670" s="1077" t="s">
        <v>2333</v>
      </c>
      <c r="B670" s="1078" t="s">
        <v>2334</v>
      </c>
      <c r="C670" s="1079" t="s">
        <v>1444</v>
      </c>
      <c r="D670" s="1080" t="s">
        <v>2358</v>
      </c>
      <c r="E670" s="1081">
        <v>1400</v>
      </c>
      <c r="F670" s="1082">
        <v>5263942</v>
      </c>
      <c r="G670" s="1083" t="s">
        <v>2577</v>
      </c>
      <c r="H670" s="1083" t="s">
        <v>1656</v>
      </c>
      <c r="I670" s="1084" t="s">
        <v>2338</v>
      </c>
      <c r="J670" s="1085" t="s">
        <v>1656</v>
      </c>
      <c r="K670" s="1086">
        <v>0</v>
      </c>
      <c r="L670" s="1087">
        <v>12</v>
      </c>
      <c r="M670" s="1088">
        <f t="shared" si="20"/>
        <v>16800</v>
      </c>
      <c r="N670" s="1077">
        <v>0</v>
      </c>
      <c r="O670" s="1078">
        <v>6</v>
      </c>
      <c r="P670" s="1089">
        <f t="shared" si="21"/>
        <v>8400</v>
      </c>
    </row>
    <row r="671" spans="1:16" ht="15" x14ac:dyDescent="0.2">
      <c r="A671" s="1077" t="s">
        <v>2333</v>
      </c>
      <c r="B671" s="1078" t="s">
        <v>2334</v>
      </c>
      <c r="C671" s="1079" t="s">
        <v>1444</v>
      </c>
      <c r="D671" s="1080" t="s">
        <v>2498</v>
      </c>
      <c r="E671" s="1081">
        <v>1400</v>
      </c>
      <c r="F671" s="1082">
        <v>15859049</v>
      </c>
      <c r="G671" s="1083" t="s">
        <v>2578</v>
      </c>
      <c r="H671" s="1083" t="s">
        <v>1651</v>
      </c>
      <c r="I671" s="1084" t="s">
        <v>2338</v>
      </c>
      <c r="J671" s="1085" t="s">
        <v>1651</v>
      </c>
      <c r="K671" s="1086">
        <v>0</v>
      </c>
      <c r="L671" s="1087">
        <v>12</v>
      </c>
      <c r="M671" s="1088">
        <f t="shared" si="20"/>
        <v>16800</v>
      </c>
      <c r="N671" s="1077">
        <v>0</v>
      </c>
      <c r="O671" s="1078">
        <v>6</v>
      </c>
      <c r="P671" s="1089">
        <f t="shared" si="21"/>
        <v>8400</v>
      </c>
    </row>
    <row r="672" spans="1:16" ht="15" x14ac:dyDescent="0.2">
      <c r="A672" s="1077" t="s">
        <v>2333</v>
      </c>
      <c r="B672" s="1078" t="s">
        <v>2334</v>
      </c>
      <c r="C672" s="1079" t="s">
        <v>1444</v>
      </c>
      <c r="D672" s="1080" t="s">
        <v>2335</v>
      </c>
      <c r="E672" s="1081">
        <v>2300</v>
      </c>
      <c r="F672" s="1082">
        <v>41160331</v>
      </c>
      <c r="G672" s="1083" t="s">
        <v>2579</v>
      </c>
      <c r="H672" s="1083" t="s">
        <v>2337</v>
      </c>
      <c r="I672" s="1084" t="s">
        <v>2338</v>
      </c>
      <c r="J672" s="1085" t="s">
        <v>2337</v>
      </c>
      <c r="K672" s="1086">
        <v>0</v>
      </c>
      <c r="L672" s="1087">
        <v>12</v>
      </c>
      <c r="M672" s="1088">
        <f t="shared" si="20"/>
        <v>27600</v>
      </c>
      <c r="N672" s="1077">
        <v>0</v>
      </c>
      <c r="O672" s="1078">
        <v>6</v>
      </c>
      <c r="P672" s="1089">
        <f t="shared" si="21"/>
        <v>13800</v>
      </c>
    </row>
    <row r="673" spans="1:16" ht="15" x14ac:dyDescent="0.2">
      <c r="A673" s="1077" t="s">
        <v>2333</v>
      </c>
      <c r="B673" s="1078" t="s">
        <v>2334</v>
      </c>
      <c r="C673" s="1079" t="s">
        <v>1444</v>
      </c>
      <c r="D673" s="1080" t="s">
        <v>2580</v>
      </c>
      <c r="E673" s="1081">
        <v>1100</v>
      </c>
      <c r="F673" s="1082">
        <v>44416173</v>
      </c>
      <c r="G673" s="1083" t="s">
        <v>2581</v>
      </c>
      <c r="H673" s="1083" t="s">
        <v>904</v>
      </c>
      <c r="I673" s="1084" t="s">
        <v>2338</v>
      </c>
      <c r="J673" s="1085" t="s">
        <v>904</v>
      </c>
      <c r="K673" s="1086">
        <v>0</v>
      </c>
      <c r="L673" s="1087">
        <v>12</v>
      </c>
      <c r="M673" s="1088">
        <f t="shared" si="20"/>
        <v>13200</v>
      </c>
      <c r="N673" s="1077">
        <v>0</v>
      </c>
      <c r="O673" s="1078">
        <v>6</v>
      </c>
      <c r="P673" s="1089">
        <f t="shared" si="21"/>
        <v>6600</v>
      </c>
    </row>
    <row r="674" spans="1:16" ht="15" x14ac:dyDescent="0.2">
      <c r="A674" s="1077" t="s">
        <v>2333</v>
      </c>
      <c r="B674" s="1078" t="s">
        <v>2334</v>
      </c>
      <c r="C674" s="1079" t="s">
        <v>1444</v>
      </c>
      <c r="D674" s="1080" t="s">
        <v>2380</v>
      </c>
      <c r="E674" s="1081">
        <v>3000</v>
      </c>
      <c r="F674" s="1082">
        <v>23018800</v>
      </c>
      <c r="G674" s="1083" t="s">
        <v>2582</v>
      </c>
      <c r="H674" s="1083" t="s">
        <v>613</v>
      </c>
      <c r="I674" s="1084" t="s">
        <v>2338</v>
      </c>
      <c r="J674" s="1085" t="s">
        <v>613</v>
      </c>
      <c r="K674" s="1086">
        <v>0</v>
      </c>
      <c r="L674" s="1087">
        <v>12</v>
      </c>
      <c r="M674" s="1088">
        <f t="shared" si="20"/>
        <v>36000</v>
      </c>
      <c r="N674" s="1077">
        <v>0</v>
      </c>
      <c r="O674" s="1078">
        <v>6</v>
      </c>
      <c r="P674" s="1089">
        <f t="shared" si="21"/>
        <v>18000</v>
      </c>
    </row>
    <row r="675" spans="1:16" ht="15" x14ac:dyDescent="0.2">
      <c r="A675" s="1077" t="s">
        <v>2333</v>
      </c>
      <c r="B675" s="1078" t="s">
        <v>2334</v>
      </c>
      <c r="C675" s="1079" t="s">
        <v>1444</v>
      </c>
      <c r="D675" s="1080" t="s">
        <v>2335</v>
      </c>
      <c r="E675" s="1081">
        <v>1400</v>
      </c>
      <c r="F675" s="1082">
        <v>41466793</v>
      </c>
      <c r="G675" s="1083" t="s">
        <v>2583</v>
      </c>
      <c r="H675" s="1083" t="s">
        <v>1651</v>
      </c>
      <c r="I675" s="1084" t="s">
        <v>2338</v>
      </c>
      <c r="J675" s="1085" t="s">
        <v>1651</v>
      </c>
      <c r="K675" s="1086">
        <v>0</v>
      </c>
      <c r="L675" s="1087">
        <v>12</v>
      </c>
      <c r="M675" s="1088">
        <f t="shared" si="20"/>
        <v>16800</v>
      </c>
      <c r="N675" s="1077">
        <v>0</v>
      </c>
      <c r="O675" s="1078">
        <v>6</v>
      </c>
      <c r="P675" s="1089">
        <f t="shared" si="21"/>
        <v>8400</v>
      </c>
    </row>
    <row r="676" spans="1:16" ht="15" x14ac:dyDescent="0.2">
      <c r="A676" s="1077" t="s">
        <v>2333</v>
      </c>
      <c r="B676" s="1078" t="s">
        <v>2334</v>
      </c>
      <c r="C676" s="1079" t="s">
        <v>1444</v>
      </c>
      <c r="D676" s="1080" t="s">
        <v>2358</v>
      </c>
      <c r="E676" s="1081">
        <v>1400</v>
      </c>
      <c r="F676" s="1082">
        <v>40641602</v>
      </c>
      <c r="G676" s="1083" t="s">
        <v>2584</v>
      </c>
      <c r="H676" s="1083" t="s">
        <v>1656</v>
      </c>
      <c r="I676" s="1084" t="s">
        <v>2338</v>
      </c>
      <c r="J676" s="1085" t="s">
        <v>1656</v>
      </c>
      <c r="K676" s="1086">
        <v>0</v>
      </c>
      <c r="L676" s="1087">
        <v>12</v>
      </c>
      <c r="M676" s="1088">
        <f t="shared" si="20"/>
        <v>16800</v>
      </c>
      <c r="N676" s="1077">
        <v>0</v>
      </c>
      <c r="O676" s="1078">
        <v>6</v>
      </c>
      <c r="P676" s="1089">
        <f t="shared" si="21"/>
        <v>8400</v>
      </c>
    </row>
    <row r="677" spans="1:16" ht="15" x14ac:dyDescent="0.2">
      <c r="A677" s="1077" t="s">
        <v>2333</v>
      </c>
      <c r="B677" s="1078" t="s">
        <v>2334</v>
      </c>
      <c r="C677" s="1079" t="s">
        <v>1444</v>
      </c>
      <c r="D677" s="1080" t="s">
        <v>2585</v>
      </c>
      <c r="E677" s="1081">
        <v>1400</v>
      </c>
      <c r="F677" s="1082">
        <v>48218944</v>
      </c>
      <c r="G677" s="1083" t="s">
        <v>2586</v>
      </c>
      <c r="H677" s="1083" t="s">
        <v>1651</v>
      </c>
      <c r="I677" s="1084" t="s">
        <v>2338</v>
      </c>
      <c r="J677" s="1085" t="s">
        <v>1651</v>
      </c>
      <c r="K677" s="1086">
        <v>0</v>
      </c>
      <c r="L677" s="1087">
        <v>12</v>
      </c>
      <c r="M677" s="1088">
        <f t="shared" si="20"/>
        <v>16800</v>
      </c>
      <c r="N677" s="1077">
        <v>0</v>
      </c>
      <c r="O677" s="1078">
        <v>6</v>
      </c>
      <c r="P677" s="1089">
        <f t="shared" si="21"/>
        <v>8400</v>
      </c>
    </row>
    <row r="678" spans="1:16" ht="15" x14ac:dyDescent="0.2">
      <c r="A678" s="1077" t="s">
        <v>2333</v>
      </c>
      <c r="B678" s="1078" t="s">
        <v>2334</v>
      </c>
      <c r="C678" s="1079" t="s">
        <v>1444</v>
      </c>
      <c r="D678" s="1080" t="s">
        <v>2344</v>
      </c>
      <c r="E678" s="1081">
        <v>1700</v>
      </c>
      <c r="F678" s="1082">
        <v>25824659</v>
      </c>
      <c r="G678" s="1083" t="s">
        <v>2587</v>
      </c>
      <c r="H678" s="1083" t="s">
        <v>613</v>
      </c>
      <c r="I678" s="1084" t="s">
        <v>2338</v>
      </c>
      <c r="J678" s="1085" t="s">
        <v>613</v>
      </c>
      <c r="K678" s="1086">
        <v>0</v>
      </c>
      <c r="L678" s="1087">
        <v>12</v>
      </c>
      <c r="M678" s="1088">
        <f t="shared" si="20"/>
        <v>20400</v>
      </c>
      <c r="N678" s="1077">
        <v>0</v>
      </c>
      <c r="O678" s="1078">
        <v>6</v>
      </c>
      <c r="P678" s="1089">
        <f t="shared" si="21"/>
        <v>10200</v>
      </c>
    </row>
    <row r="679" spans="1:16" ht="15" x14ac:dyDescent="0.2">
      <c r="A679" s="1077" t="s">
        <v>2333</v>
      </c>
      <c r="B679" s="1078" t="s">
        <v>2334</v>
      </c>
      <c r="C679" s="1079" t="s">
        <v>1444</v>
      </c>
      <c r="D679" s="1080" t="s">
        <v>2335</v>
      </c>
      <c r="E679" s="1081">
        <v>1400</v>
      </c>
      <c r="F679" s="1082">
        <v>2842690</v>
      </c>
      <c r="G679" s="1083" t="s">
        <v>2588</v>
      </c>
      <c r="H679" s="1083" t="s">
        <v>1651</v>
      </c>
      <c r="I679" s="1084" t="s">
        <v>2338</v>
      </c>
      <c r="J679" s="1085" t="s">
        <v>1651</v>
      </c>
      <c r="K679" s="1086">
        <v>0</v>
      </c>
      <c r="L679" s="1087">
        <v>12</v>
      </c>
      <c r="M679" s="1088">
        <f t="shared" si="20"/>
        <v>16800</v>
      </c>
      <c r="N679" s="1077">
        <v>0</v>
      </c>
      <c r="O679" s="1078">
        <v>6</v>
      </c>
      <c r="P679" s="1089">
        <f t="shared" si="21"/>
        <v>8400</v>
      </c>
    </row>
    <row r="680" spans="1:16" ht="15" x14ac:dyDescent="0.2">
      <c r="A680" s="1077" t="s">
        <v>2333</v>
      </c>
      <c r="B680" s="1078" t="s">
        <v>2334</v>
      </c>
      <c r="C680" s="1079" t="s">
        <v>1444</v>
      </c>
      <c r="D680" s="1080" t="s">
        <v>2537</v>
      </c>
      <c r="E680" s="1081">
        <v>1500</v>
      </c>
      <c r="F680" s="1082">
        <v>25721385</v>
      </c>
      <c r="G680" s="1083" t="s">
        <v>2589</v>
      </c>
      <c r="H680" s="1083" t="s">
        <v>904</v>
      </c>
      <c r="I680" s="1084" t="s">
        <v>2338</v>
      </c>
      <c r="J680" s="1085" t="s">
        <v>904</v>
      </c>
      <c r="K680" s="1086">
        <v>0</v>
      </c>
      <c r="L680" s="1087">
        <v>12</v>
      </c>
      <c r="M680" s="1088">
        <f t="shared" si="20"/>
        <v>18000</v>
      </c>
      <c r="N680" s="1077">
        <v>0</v>
      </c>
      <c r="O680" s="1078">
        <v>6</v>
      </c>
      <c r="P680" s="1089">
        <f t="shared" si="21"/>
        <v>9000</v>
      </c>
    </row>
    <row r="681" spans="1:16" ht="15.75" thickBot="1" x14ac:dyDescent="0.25">
      <c r="A681" s="1097" t="s">
        <v>2333</v>
      </c>
      <c r="B681" s="1098" t="s">
        <v>2334</v>
      </c>
      <c r="C681" s="1099" t="s">
        <v>1444</v>
      </c>
      <c r="D681" s="1100" t="s">
        <v>2590</v>
      </c>
      <c r="E681" s="1081">
        <v>1200</v>
      </c>
      <c r="F681" s="1082">
        <v>25546201</v>
      </c>
      <c r="G681" s="1101" t="s">
        <v>2591</v>
      </c>
      <c r="H681" s="1101" t="s">
        <v>2364</v>
      </c>
      <c r="I681" s="1102" t="s">
        <v>2338</v>
      </c>
      <c r="J681" s="1103" t="s">
        <v>2364</v>
      </c>
      <c r="K681" s="1104">
        <v>0</v>
      </c>
      <c r="L681" s="1105">
        <v>12</v>
      </c>
      <c r="M681" s="1106">
        <f t="shared" si="20"/>
        <v>14400</v>
      </c>
      <c r="N681" s="1097">
        <v>0</v>
      </c>
      <c r="O681" s="1078">
        <v>6</v>
      </c>
      <c r="P681" s="1089">
        <f t="shared" si="21"/>
        <v>7200</v>
      </c>
    </row>
    <row r="682" spans="1:16" ht="15.75" thickBot="1" x14ac:dyDescent="0.25">
      <c r="A682" s="1097" t="s">
        <v>2333</v>
      </c>
      <c r="B682" s="1098" t="s">
        <v>2334</v>
      </c>
      <c r="C682" s="1099" t="s">
        <v>1444</v>
      </c>
      <c r="D682" s="1078" t="s">
        <v>2442</v>
      </c>
      <c r="E682" s="1081">
        <v>1500</v>
      </c>
      <c r="F682" s="1078">
        <v>73954455</v>
      </c>
      <c r="G682" s="1107" t="s">
        <v>2592</v>
      </c>
      <c r="H682" s="1078" t="s">
        <v>2593</v>
      </c>
      <c r="I682" s="1102" t="s">
        <v>2338</v>
      </c>
      <c r="J682" s="1078" t="s">
        <v>2593</v>
      </c>
      <c r="K682" s="1078"/>
      <c r="L682" s="1105">
        <v>0</v>
      </c>
      <c r="M682" s="1088">
        <f t="shared" si="20"/>
        <v>0</v>
      </c>
      <c r="N682" s="1078"/>
      <c r="O682" s="1078">
        <v>6</v>
      </c>
      <c r="P682" s="1089">
        <f t="shared" si="21"/>
        <v>9000</v>
      </c>
    </row>
    <row r="683" spans="1:16" ht="15.75" thickBot="1" x14ac:dyDescent="0.25">
      <c r="A683" s="1097" t="s">
        <v>2333</v>
      </c>
      <c r="B683" s="1098" t="s">
        <v>2334</v>
      </c>
      <c r="C683" s="1099" t="s">
        <v>1444</v>
      </c>
      <c r="D683" s="1108" t="s">
        <v>2594</v>
      </c>
      <c r="E683" s="1081">
        <v>1200</v>
      </c>
      <c r="F683" s="1109">
        <v>71483431</v>
      </c>
      <c r="G683" s="1107" t="s">
        <v>2595</v>
      </c>
      <c r="H683" s="1078" t="s">
        <v>904</v>
      </c>
      <c r="I683" s="1102" t="s">
        <v>2338</v>
      </c>
      <c r="J683" s="1078" t="s">
        <v>904</v>
      </c>
      <c r="K683" s="1110"/>
      <c r="L683" s="1105">
        <v>0</v>
      </c>
      <c r="M683" s="1088">
        <f t="shared" si="20"/>
        <v>0</v>
      </c>
      <c r="N683" s="1111"/>
      <c r="O683" s="1078">
        <v>6</v>
      </c>
      <c r="P683" s="1089">
        <f t="shared" si="21"/>
        <v>7200</v>
      </c>
    </row>
    <row r="684" spans="1:16" ht="15.75" thickBot="1" x14ac:dyDescent="0.25">
      <c r="A684" s="1097" t="s">
        <v>2333</v>
      </c>
      <c r="B684" s="1098" t="s">
        <v>2334</v>
      </c>
      <c r="C684" s="1099" t="s">
        <v>1444</v>
      </c>
      <c r="D684" s="359" t="s">
        <v>561</v>
      </c>
      <c r="E684" s="1081">
        <v>2500</v>
      </c>
      <c r="F684" s="1047">
        <v>44741808</v>
      </c>
      <c r="G684" s="1107" t="s">
        <v>2596</v>
      </c>
      <c r="H684" s="1078" t="s">
        <v>613</v>
      </c>
      <c r="I684" s="1102" t="s">
        <v>2338</v>
      </c>
      <c r="J684" s="1078" t="s">
        <v>613</v>
      </c>
      <c r="K684" s="683"/>
      <c r="L684" s="1105">
        <v>0</v>
      </c>
      <c r="M684" s="1106">
        <f t="shared" si="20"/>
        <v>0</v>
      </c>
      <c r="N684" s="359"/>
      <c r="O684" s="1078">
        <v>6</v>
      </c>
      <c r="P684" s="1089">
        <f t="shared" si="21"/>
        <v>15000</v>
      </c>
    </row>
    <row r="685" spans="1:16" ht="15.75" thickBot="1" x14ac:dyDescent="0.25">
      <c r="A685" s="1097" t="s">
        <v>2333</v>
      </c>
      <c r="B685" s="1098" t="s">
        <v>2334</v>
      </c>
      <c r="C685" s="1099" t="s">
        <v>1444</v>
      </c>
      <c r="D685" s="359" t="s">
        <v>2360</v>
      </c>
      <c r="E685" s="1081">
        <v>1700</v>
      </c>
      <c r="F685" s="1047">
        <v>72226749</v>
      </c>
      <c r="G685" s="1107" t="s">
        <v>2597</v>
      </c>
      <c r="H685" s="1078" t="s">
        <v>2598</v>
      </c>
      <c r="I685" s="1102" t="s">
        <v>2338</v>
      </c>
      <c r="J685" s="1078" t="s">
        <v>2598</v>
      </c>
      <c r="K685" s="683"/>
      <c r="L685" s="1105">
        <v>0</v>
      </c>
      <c r="M685" s="1088">
        <f t="shared" si="20"/>
        <v>0</v>
      </c>
      <c r="N685" s="359"/>
      <c r="O685" s="1078">
        <v>6</v>
      </c>
      <c r="P685" s="1089">
        <f t="shared" si="21"/>
        <v>10200</v>
      </c>
    </row>
    <row r="686" spans="1:16" ht="15.75" thickBot="1" x14ac:dyDescent="0.25">
      <c r="A686" s="1097" t="s">
        <v>2333</v>
      </c>
      <c r="B686" s="1098" t="s">
        <v>2334</v>
      </c>
      <c r="C686" s="1099" t="s">
        <v>1444</v>
      </c>
      <c r="D686" s="359" t="s">
        <v>2442</v>
      </c>
      <c r="E686" s="1081">
        <v>1500</v>
      </c>
      <c r="F686" s="1047">
        <v>43433161</v>
      </c>
      <c r="G686" s="1107" t="s">
        <v>2599</v>
      </c>
      <c r="H686" s="1078" t="s">
        <v>2593</v>
      </c>
      <c r="I686" s="1102" t="s">
        <v>2338</v>
      </c>
      <c r="J686" s="1078" t="s">
        <v>2593</v>
      </c>
      <c r="K686" s="683"/>
      <c r="L686" s="1105">
        <v>0</v>
      </c>
      <c r="M686" s="1088">
        <f t="shared" si="20"/>
        <v>0</v>
      </c>
      <c r="N686" s="359"/>
      <c r="O686" s="1078">
        <v>6</v>
      </c>
      <c r="P686" s="1089">
        <f t="shared" si="21"/>
        <v>9000</v>
      </c>
    </row>
    <row r="687" spans="1:16" ht="15.75" thickBot="1" x14ac:dyDescent="0.25">
      <c r="A687" s="1097" t="s">
        <v>2333</v>
      </c>
      <c r="B687" s="1098" t="s">
        <v>2334</v>
      </c>
      <c r="C687" s="1099" t="s">
        <v>1444</v>
      </c>
      <c r="D687" s="359" t="s">
        <v>2344</v>
      </c>
      <c r="E687" s="1081">
        <v>1500</v>
      </c>
      <c r="F687" s="1047">
        <v>42177839</v>
      </c>
      <c r="G687" s="1107" t="s">
        <v>2600</v>
      </c>
      <c r="H687" s="1078" t="s">
        <v>1716</v>
      </c>
      <c r="I687" s="1102" t="s">
        <v>2338</v>
      </c>
      <c r="J687" s="1078" t="s">
        <v>1716</v>
      </c>
      <c r="K687" s="683"/>
      <c r="L687" s="1105">
        <v>0</v>
      </c>
      <c r="M687" s="1106">
        <f t="shared" si="20"/>
        <v>0</v>
      </c>
      <c r="N687" s="359"/>
      <c r="O687" s="1078">
        <v>6</v>
      </c>
      <c r="P687" s="1089">
        <f t="shared" si="21"/>
        <v>9000</v>
      </c>
    </row>
    <row r="688" spans="1:16" ht="15.75" thickBot="1" x14ac:dyDescent="0.25">
      <c r="A688" s="1097" t="s">
        <v>2333</v>
      </c>
      <c r="B688" s="1098" t="s">
        <v>2334</v>
      </c>
      <c r="C688" s="1099" t="s">
        <v>1444</v>
      </c>
      <c r="D688" s="359" t="s">
        <v>2380</v>
      </c>
      <c r="E688" s="1081">
        <v>1700</v>
      </c>
      <c r="F688" s="1047">
        <v>44722497</v>
      </c>
      <c r="G688" s="1107" t="s">
        <v>2601</v>
      </c>
      <c r="H688" s="1078" t="s">
        <v>545</v>
      </c>
      <c r="I688" s="1102" t="s">
        <v>2338</v>
      </c>
      <c r="J688" s="1078" t="s">
        <v>545</v>
      </c>
      <c r="K688" s="683"/>
      <c r="L688" s="1105">
        <v>0</v>
      </c>
      <c r="M688" s="1088">
        <f t="shared" si="20"/>
        <v>0</v>
      </c>
      <c r="N688" s="359"/>
      <c r="O688" s="1078">
        <v>6</v>
      </c>
      <c r="P688" s="1089">
        <f t="shared" si="21"/>
        <v>10200</v>
      </c>
    </row>
    <row r="689" spans="1:16" ht="15.75" thickBot="1" x14ac:dyDescent="0.25">
      <c r="A689" s="1097" t="s">
        <v>2333</v>
      </c>
      <c r="B689" s="1098" t="s">
        <v>2334</v>
      </c>
      <c r="C689" s="1099" t="s">
        <v>1444</v>
      </c>
      <c r="D689" s="359" t="s">
        <v>2602</v>
      </c>
      <c r="E689" s="1081">
        <v>1700</v>
      </c>
      <c r="F689" s="1047">
        <v>71337628</v>
      </c>
      <c r="G689" s="1107" t="s">
        <v>2603</v>
      </c>
      <c r="H689" s="1078" t="s">
        <v>2598</v>
      </c>
      <c r="I689" s="1102" t="s">
        <v>2338</v>
      </c>
      <c r="J689" s="1078" t="s">
        <v>2598</v>
      </c>
      <c r="K689" s="683"/>
      <c r="L689" s="1105">
        <v>0</v>
      </c>
      <c r="M689" s="1088">
        <f t="shared" si="20"/>
        <v>0</v>
      </c>
      <c r="N689" s="359"/>
      <c r="O689" s="1078">
        <v>6</v>
      </c>
      <c r="P689" s="1089">
        <f t="shared" si="21"/>
        <v>10200</v>
      </c>
    </row>
    <row r="690" spans="1:16" ht="15.75" thickBot="1" x14ac:dyDescent="0.25">
      <c r="A690" s="1097" t="s">
        <v>2333</v>
      </c>
      <c r="B690" s="1098" t="s">
        <v>2334</v>
      </c>
      <c r="C690" s="1099" t="s">
        <v>1444</v>
      </c>
      <c r="D690" s="359" t="s">
        <v>2604</v>
      </c>
      <c r="E690" s="1081">
        <v>1700</v>
      </c>
      <c r="F690" s="1047">
        <v>42312668</v>
      </c>
      <c r="G690" s="1107" t="s">
        <v>2605</v>
      </c>
      <c r="H690" s="1078" t="s">
        <v>2598</v>
      </c>
      <c r="I690" s="1102" t="s">
        <v>2338</v>
      </c>
      <c r="J690" s="1078" t="s">
        <v>2598</v>
      </c>
      <c r="K690" s="683"/>
      <c r="L690" s="1105">
        <v>0</v>
      </c>
      <c r="M690" s="1106">
        <f t="shared" si="20"/>
        <v>0</v>
      </c>
      <c r="N690" s="359"/>
      <c r="O690" s="1078">
        <v>6</v>
      </c>
      <c r="P690" s="1089">
        <f t="shared" si="21"/>
        <v>10200</v>
      </c>
    </row>
    <row r="691" spans="1:16" ht="15.75" thickBot="1" x14ac:dyDescent="0.25">
      <c r="A691" s="1097" t="s">
        <v>2333</v>
      </c>
      <c r="B691" s="1098" t="s">
        <v>2334</v>
      </c>
      <c r="C691" s="1099" t="s">
        <v>1444</v>
      </c>
      <c r="D691" s="359" t="s">
        <v>2606</v>
      </c>
      <c r="E691" s="1081">
        <v>1100</v>
      </c>
      <c r="F691" s="1047">
        <v>75442914</v>
      </c>
      <c r="G691" s="1107" t="s">
        <v>2607</v>
      </c>
      <c r="H691" s="1078" t="s">
        <v>2608</v>
      </c>
      <c r="I691" s="1102" t="s">
        <v>2338</v>
      </c>
      <c r="J691" s="1078" t="s">
        <v>2608</v>
      </c>
      <c r="K691" s="683"/>
      <c r="L691" s="1105">
        <v>0</v>
      </c>
      <c r="M691" s="1088">
        <f t="shared" si="20"/>
        <v>0</v>
      </c>
      <c r="N691" s="359"/>
      <c r="O691" s="1078">
        <v>6</v>
      </c>
      <c r="P691" s="1089">
        <f t="shared" si="21"/>
        <v>6600</v>
      </c>
    </row>
    <row r="692" spans="1:16" ht="15.75" thickBot="1" x14ac:dyDescent="0.25">
      <c r="A692" s="1097" t="s">
        <v>2333</v>
      </c>
      <c r="B692" s="1098" t="s">
        <v>2334</v>
      </c>
      <c r="C692" s="1099" t="s">
        <v>1444</v>
      </c>
      <c r="D692" s="359" t="s">
        <v>2602</v>
      </c>
      <c r="E692" s="1081">
        <v>1700</v>
      </c>
      <c r="F692" s="1047">
        <v>47768338</v>
      </c>
      <c r="G692" s="1107" t="s">
        <v>2609</v>
      </c>
      <c r="H692" s="1078" t="s">
        <v>2565</v>
      </c>
      <c r="I692" s="1102" t="s">
        <v>2338</v>
      </c>
      <c r="J692" s="1078" t="s">
        <v>2565</v>
      </c>
      <c r="K692" s="683"/>
      <c r="L692" s="1105">
        <v>0</v>
      </c>
      <c r="M692" s="1088">
        <f t="shared" si="20"/>
        <v>0</v>
      </c>
      <c r="N692" s="359"/>
      <c r="O692" s="1078">
        <v>6</v>
      </c>
      <c r="P692" s="1089">
        <f t="shared" si="21"/>
        <v>10200</v>
      </c>
    </row>
    <row r="693" spans="1:16" ht="15.75" thickBot="1" x14ac:dyDescent="0.25">
      <c r="A693" s="1097" t="s">
        <v>2333</v>
      </c>
      <c r="B693" s="1098" t="s">
        <v>2334</v>
      </c>
      <c r="C693" s="1099" t="s">
        <v>1444</v>
      </c>
      <c r="D693" s="359" t="s">
        <v>2610</v>
      </c>
      <c r="E693" s="1081">
        <v>5200</v>
      </c>
      <c r="F693" s="1047">
        <v>8679331</v>
      </c>
      <c r="G693" s="1107" t="s">
        <v>2611</v>
      </c>
      <c r="H693" s="1078" t="s">
        <v>2612</v>
      </c>
      <c r="I693" s="1102" t="s">
        <v>2338</v>
      </c>
      <c r="J693" s="1078" t="s">
        <v>2612</v>
      </c>
      <c r="K693" s="683"/>
      <c r="L693" s="1105">
        <v>0</v>
      </c>
      <c r="M693" s="1106">
        <f t="shared" si="20"/>
        <v>0</v>
      </c>
      <c r="N693" s="359"/>
      <c r="O693" s="1078">
        <v>6</v>
      </c>
      <c r="P693" s="1089">
        <f t="shared" si="21"/>
        <v>31200</v>
      </c>
    </row>
    <row r="694" spans="1:16" ht="15.75" thickBot="1" x14ac:dyDescent="0.25">
      <c r="A694" s="1097" t="s">
        <v>2333</v>
      </c>
      <c r="B694" s="1098" t="s">
        <v>2334</v>
      </c>
      <c r="C694" s="1099" t="s">
        <v>1444</v>
      </c>
      <c r="D694" s="359" t="s">
        <v>2533</v>
      </c>
      <c r="E694" s="1081">
        <v>3000</v>
      </c>
      <c r="F694" s="1047">
        <v>41775488</v>
      </c>
      <c r="G694" s="1107" t="s">
        <v>2613</v>
      </c>
      <c r="H694" s="1078" t="s">
        <v>613</v>
      </c>
      <c r="I694" s="1102" t="s">
        <v>2338</v>
      </c>
      <c r="J694" s="1078" t="s">
        <v>613</v>
      </c>
      <c r="K694" s="683"/>
      <c r="L694" s="1105">
        <v>0</v>
      </c>
      <c r="M694" s="1088">
        <f t="shared" si="20"/>
        <v>0</v>
      </c>
      <c r="N694" s="359"/>
      <c r="O694" s="1078">
        <v>6</v>
      </c>
      <c r="P694" s="1089">
        <f t="shared" si="21"/>
        <v>18000</v>
      </c>
    </row>
    <row r="695" spans="1:16" ht="15.75" thickBot="1" x14ac:dyDescent="0.25">
      <c r="A695" s="1097" t="s">
        <v>2333</v>
      </c>
      <c r="B695" s="1098" t="s">
        <v>2334</v>
      </c>
      <c r="C695" s="1099" t="s">
        <v>1444</v>
      </c>
      <c r="D695" s="359" t="s">
        <v>2614</v>
      </c>
      <c r="E695" s="1081">
        <v>2500</v>
      </c>
      <c r="F695" s="1047">
        <v>76216618</v>
      </c>
      <c r="G695" s="1107" t="s">
        <v>2615</v>
      </c>
      <c r="H695" s="1078" t="s">
        <v>613</v>
      </c>
      <c r="I695" s="1102" t="s">
        <v>2338</v>
      </c>
      <c r="J695" s="1078" t="s">
        <v>613</v>
      </c>
      <c r="K695" s="683"/>
      <c r="L695" s="1105">
        <v>0</v>
      </c>
      <c r="M695" s="1088">
        <f t="shared" si="20"/>
        <v>0</v>
      </c>
      <c r="N695" s="359"/>
      <c r="O695" s="1078">
        <v>6</v>
      </c>
      <c r="P695" s="1089">
        <f t="shared" si="21"/>
        <v>15000</v>
      </c>
    </row>
    <row r="696" spans="1:16" ht="15.75" thickBot="1" x14ac:dyDescent="0.25">
      <c r="A696" s="1097" t="s">
        <v>2333</v>
      </c>
      <c r="B696" s="1098" t="s">
        <v>2334</v>
      </c>
      <c r="C696" s="1099" t="s">
        <v>1444</v>
      </c>
      <c r="D696" s="359" t="s">
        <v>2360</v>
      </c>
      <c r="E696" s="1081">
        <v>1700</v>
      </c>
      <c r="F696" s="1047">
        <v>77572079</v>
      </c>
      <c r="G696" s="1107" t="s">
        <v>2616</v>
      </c>
      <c r="H696" s="1078" t="s">
        <v>2598</v>
      </c>
      <c r="I696" s="1102" t="s">
        <v>2338</v>
      </c>
      <c r="J696" s="1078" t="s">
        <v>2598</v>
      </c>
      <c r="K696" s="683"/>
      <c r="L696" s="1105">
        <v>0</v>
      </c>
      <c r="M696" s="1106">
        <f t="shared" si="20"/>
        <v>0</v>
      </c>
      <c r="N696" s="359"/>
      <c r="O696" s="1078">
        <v>6</v>
      </c>
      <c r="P696" s="1089">
        <f t="shared" si="21"/>
        <v>10200</v>
      </c>
    </row>
    <row r="697" spans="1:16" ht="15.75" thickBot="1" x14ac:dyDescent="0.25">
      <c r="A697" s="1097" t="s">
        <v>2333</v>
      </c>
      <c r="B697" s="1098" t="s">
        <v>2334</v>
      </c>
      <c r="C697" s="1099" t="s">
        <v>1444</v>
      </c>
      <c r="D697" s="359" t="s">
        <v>2424</v>
      </c>
      <c r="E697" s="1081">
        <v>5000</v>
      </c>
      <c r="F697" s="1047">
        <v>46158332</v>
      </c>
      <c r="G697" s="1107" t="s">
        <v>2617</v>
      </c>
      <c r="H697" s="1078" t="s">
        <v>2618</v>
      </c>
      <c r="I697" s="1102" t="s">
        <v>2338</v>
      </c>
      <c r="J697" s="1078" t="s">
        <v>2618</v>
      </c>
      <c r="K697" s="683"/>
      <c r="L697" s="1105">
        <v>0</v>
      </c>
      <c r="M697" s="1088">
        <f t="shared" si="20"/>
        <v>0</v>
      </c>
      <c r="N697" s="359"/>
      <c r="O697" s="1078">
        <v>6</v>
      </c>
      <c r="P697" s="1089">
        <f t="shared" si="21"/>
        <v>30000</v>
      </c>
    </row>
    <row r="698" spans="1:16" ht="15.75" thickBot="1" x14ac:dyDescent="0.25">
      <c r="A698" s="1097" t="s">
        <v>2333</v>
      </c>
      <c r="B698" s="1098" t="s">
        <v>2334</v>
      </c>
      <c r="C698" s="1099" t="s">
        <v>1444</v>
      </c>
      <c r="D698" s="359" t="s">
        <v>2619</v>
      </c>
      <c r="E698" s="1081">
        <v>2800</v>
      </c>
      <c r="F698" s="1047">
        <v>43663456</v>
      </c>
      <c r="G698" s="1107" t="s">
        <v>2620</v>
      </c>
      <c r="H698" s="1078" t="s">
        <v>2337</v>
      </c>
      <c r="I698" s="1102" t="s">
        <v>2338</v>
      </c>
      <c r="J698" s="1078" t="s">
        <v>2337</v>
      </c>
      <c r="K698" s="683"/>
      <c r="L698" s="1105">
        <v>0</v>
      </c>
      <c r="M698" s="1088">
        <f t="shared" si="20"/>
        <v>0</v>
      </c>
      <c r="N698" s="359"/>
      <c r="O698" s="1078">
        <v>6</v>
      </c>
      <c r="P698" s="1089">
        <f t="shared" si="21"/>
        <v>16800</v>
      </c>
    </row>
    <row r="699" spans="1:16" ht="15.75" thickBot="1" x14ac:dyDescent="0.25">
      <c r="A699" s="1097" t="s">
        <v>2333</v>
      </c>
      <c r="B699" s="1098" t="s">
        <v>2334</v>
      </c>
      <c r="C699" s="1099" t="s">
        <v>1444</v>
      </c>
      <c r="D699" s="359" t="s">
        <v>2621</v>
      </c>
      <c r="E699" s="1081">
        <v>2800</v>
      </c>
      <c r="F699" s="1047">
        <v>71429358</v>
      </c>
      <c r="G699" s="1107" t="s">
        <v>2622</v>
      </c>
      <c r="H699" s="1078" t="s">
        <v>2337</v>
      </c>
      <c r="I699" s="1102" t="s">
        <v>2338</v>
      </c>
      <c r="J699" s="1078" t="s">
        <v>2337</v>
      </c>
      <c r="K699" s="683"/>
      <c r="L699" s="1105">
        <v>0</v>
      </c>
      <c r="M699" s="1106">
        <f t="shared" si="20"/>
        <v>0</v>
      </c>
      <c r="N699" s="359"/>
      <c r="O699" s="1078">
        <v>6</v>
      </c>
      <c r="P699" s="1089">
        <f t="shared" si="21"/>
        <v>16800</v>
      </c>
    </row>
    <row r="700" spans="1:16" ht="15.75" thickBot="1" x14ac:dyDescent="0.25">
      <c r="A700" s="1097" t="s">
        <v>2333</v>
      </c>
      <c r="B700" s="1098" t="s">
        <v>2334</v>
      </c>
      <c r="C700" s="1099" t="s">
        <v>1444</v>
      </c>
      <c r="D700" s="359" t="s">
        <v>2365</v>
      </c>
      <c r="E700" s="1081">
        <v>1700</v>
      </c>
      <c r="F700" s="1047">
        <v>43983454</v>
      </c>
      <c r="G700" s="1107" t="s">
        <v>2623</v>
      </c>
      <c r="H700" s="1078" t="s">
        <v>2565</v>
      </c>
      <c r="I700" s="1102" t="s">
        <v>2338</v>
      </c>
      <c r="J700" s="1078" t="s">
        <v>2565</v>
      </c>
      <c r="K700" s="683"/>
      <c r="L700" s="1105">
        <v>0</v>
      </c>
      <c r="M700" s="1088">
        <f t="shared" si="20"/>
        <v>0</v>
      </c>
      <c r="N700" s="359"/>
      <c r="O700" s="1078">
        <v>6</v>
      </c>
      <c r="P700" s="1089">
        <f t="shared" si="21"/>
        <v>10200</v>
      </c>
    </row>
    <row r="701" spans="1:16" ht="15.75" thickBot="1" x14ac:dyDescent="0.25">
      <c r="A701" s="1097" t="s">
        <v>2333</v>
      </c>
      <c r="B701" s="1098" t="s">
        <v>2334</v>
      </c>
      <c r="C701" s="1099" t="s">
        <v>1444</v>
      </c>
      <c r="D701" s="359" t="s">
        <v>2527</v>
      </c>
      <c r="E701" s="1081">
        <v>2800</v>
      </c>
      <c r="F701" s="1047">
        <v>46481003</v>
      </c>
      <c r="G701" s="1107" t="s">
        <v>2624</v>
      </c>
      <c r="H701" s="1078" t="s">
        <v>2337</v>
      </c>
      <c r="I701" s="1102" t="s">
        <v>2338</v>
      </c>
      <c r="J701" s="1078" t="s">
        <v>2337</v>
      </c>
      <c r="K701" s="683"/>
      <c r="L701" s="1105">
        <v>0</v>
      </c>
      <c r="M701" s="1088">
        <f t="shared" si="20"/>
        <v>0</v>
      </c>
      <c r="N701" s="359"/>
      <c r="O701" s="1078">
        <v>6</v>
      </c>
      <c r="P701" s="1089">
        <f t="shared" si="21"/>
        <v>16800</v>
      </c>
    </row>
    <row r="702" spans="1:16" ht="15.75" thickBot="1" x14ac:dyDescent="0.25">
      <c r="A702" s="1097" t="s">
        <v>2333</v>
      </c>
      <c r="B702" s="1098" t="s">
        <v>2334</v>
      </c>
      <c r="C702" s="1099" t="s">
        <v>1444</v>
      </c>
      <c r="D702" s="359" t="s">
        <v>2625</v>
      </c>
      <c r="E702" s="1081">
        <v>2800</v>
      </c>
      <c r="F702" s="1047">
        <v>47386407</v>
      </c>
      <c r="G702" s="1107" t="s">
        <v>2626</v>
      </c>
      <c r="H702" s="1078" t="s">
        <v>1646</v>
      </c>
      <c r="I702" s="1102" t="s">
        <v>2338</v>
      </c>
      <c r="J702" s="1078" t="s">
        <v>1646</v>
      </c>
      <c r="K702" s="683"/>
      <c r="L702" s="1105">
        <v>0</v>
      </c>
      <c r="M702" s="1106">
        <f t="shared" si="20"/>
        <v>0</v>
      </c>
      <c r="N702" s="359"/>
      <c r="O702" s="1078">
        <v>6</v>
      </c>
      <c r="P702" s="1089">
        <f t="shared" si="21"/>
        <v>16800</v>
      </c>
    </row>
    <row r="703" spans="1:16" ht="15.75" thickBot="1" x14ac:dyDescent="0.25">
      <c r="A703" s="1097" t="s">
        <v>2333</v>
      </c>
      <c r="B703" s="1098" t="s">
        <v>2334</v>
      </c>
      <c r="C703" s="1099" t="s">
        <v>1444</v>
      </c>
      <c r="D703" s="359" t="s">
        <v>2580</v>
      </c>
      <c r="E703" s="1081">
        <v>1700</v>
      </c>
      <c r="F703" s="1047">
        <v>45429507</v>
      </c>
      <c r="G703" s="1107" t="s">
        <v>2627</v>
      </c>
      <c r="H703" s="1078" t="s">
        <v>2565</v>
      </c>
      <c r="I703" s="1102" t="s">
        <v>2338</v>
      </c>
      <c r="J703" s="1078" t="s">
        <v>2565</v>
      </c>
      <c r="K703" s="683"/>
      <c r="L703" s="1105">
        <v>0</v>
      </c>
      <c r="M703" s="1088">
        <f t="shared" si="20"/>
        <v>0</v>
      </c>
      <c r="N703" s="359"/>
      <c r="O703" s="1078">
        <v>6</v>
      </c>
      <c r="P703" s="1089">
        <f t="shared" si="21"/>
        <v>10200</v>
      </c>
    </row>
    <row r="704" spans="1:16" ht="15.75" thickBot="1" x14ac:dyDescent="0.25">
      <c r="A704" s="1097" t="s">
        <v>2333</v>
      </c>
      <c r="B704" s="1098" t="s">
        <v>2334</v>
      </c>
      <c r="C704" s="1099" t="s">
        <v>1444</v>
      </c>
      <c r="D704" s="359" t="s">
        <v>2606</v>
      </c>
      <c r="E704" s="1081">
        <v>1100</v>
      </c>
      <c r="F704" s="1047">
        <v>73621920</v>
      </c>
      <c r="G704" s="1107" t="s">
        <v>2628</v>
      </c>
      <c r="H704" s="1078" t="s">
        <v>2608</v>
      </c>
      <c r="I704" s="1102" t="s">
        <v>2338</v>
      </c>
      <c r="J704" s="1078" t="s">
        <v>2608</v>
      </c>
      <c r="K704" s="683"/>
      <c r="L704" s="1105">
        <v>0</v>
      </c>
      <c r="M704" s="1088">
        <f t="shared" si="20"/>
        <v>0</v>
      </c>
      <c r="N704" s="359"/>
      <c r="O704" s="1078">
        <v>6</v>
      </c>
      <c r="P704" s="1089">
        <f t="shared" si="21"/>
        <v>6600</v>
      </c>
    </row>
    <row r="705" spans="1:16" ht="15.75" thickBot="1" x14ac:dyDescent="0.25">
      <c r="A705" s="1097" t="s">
        <v>2333</v>
      </c>
      <c r="B705" s="1098" t="s">
        <v>2334</v>
      </c>
      <c r="C705" s="1099" t="s">
        <v>1444</v>
      </c>
      <c r="D705" s="359" t="s">
        <v>2505</v>
      </c>
      <c r="E705" s="1081">
        <v>2800</v>
      </c>
      <c r="F705" s="1047">
        <v>76070864</v>
      </c>
      <c r="G705" s="1107" t="s">
        <v>2629</v>
      </c>
      <c r="H705" s="1078" t="s">
        <v>2337</v>
      </c>
      <c r="I705" s="1102" t="s">
        <v>2338</v>
      </c>
      <c r="J705" s="1078" t="s">
        <v>2337</v>
      </c>
      <c r="K705" s="683"/>
      <c r="L705" s="1105">
        <v>0</v>
      </c>
      <c r="M705" s="1106">
        <f t="shared" si="20"/>
        <v>0</v>
      </c>
      <c r="N705" s="359"/>
      <c r="O705" s="1078">
        <v>6</v>
      </c>
      <c r="P705" s="1089">
        <f t="shared" si="21"/>
        <v>16800</v>
      </c>
    </row>
    <row r="706" spans="1:16" ht="15.75" thickBot="1" x14ac:dyDescent="0.25">
      <c r="A706" s="1097" t="s">
        <v>2333</v>
      </c>
      <c r="B706" s="1098" t="s">
        <v>2334</v>
      </c>
      <c r="C706" s="1099" t="s">
        <v>1444</v>
      </c>
      <c r="D706" s="359" t="s">
        <v>2549</v>
      </c>
      <c r="E706" s="1081">
        <v>1400</v>
      </c>
      <c r="F706" s="1047">
        <v>45921313</v>
      </c>
      <c r="G706" s="1107" t="s">
        <v>2630</v>
      </c>
      <c r="H706" s="1078" t="s">
        <v>1651</v>
      </c>
      <c r="I706" s="1102" t="s">
        <v>2338</v>
      </c>
      <c r="J706" s="1078" t="s">
        <v>1651</v>
      </c>
      <c r="K706" s="683"/>
      <c r="L706" s="1105">
        <v>0</v>
      </c>
      <c r="M706" s="1088">
        <f t="shared" ref="M706:M769" si="22">L706*E706</f>
        <v>0</v>
      </c>
      <c r="N706" s="359"/>
      <c r="O706" s="1078">
        <v>6</v>
      </c>
      <c r="P706" s="1089">
        <f t="shared" ref="P706:P769" si="23">O706*E706</f>
        <v>8400</v>
      </c>
    </row>
    <row r="707" spans="1:16" ht="15.75" thickBot="1" x14ac:dyDescent="0.25">
      <c r="A707" s="1097" t="s">
        <v>2333</v>
      </c>
      <c r="B707" s="1098" t="s">
        <v>2334</v>
      </c>
      <c r="C707" s="1099" t="s">
        <v>1444</v>
      </c>
      <c r="D707" s="359" t="s">
        <v>2365</v>
      </c>
      <c r="E707" s="1081">
        <v>1700</v>
      </c>
      <c r="F707" s="1047">
        <v>25721183</v>
      </c>
      <c r="G707" s="1107" t="s">
        <v>2631</v>
      </c>
      <c r="H707" s="1078" t="s">
        <v>2565</v>
      </c>
      <c r="I707" s="1102" t="s">
        <v>2338</v>
      </c>
      <c r="J707" s="1078" t="s">
        <v>2565</v>
      </c>
      <c r="K707" s="683"/>
      <c r="L707" s="1105">
        <v>0</v>
      </c>
      <c r="M707" s="1088">
        <f t="shared" si="22"/>
        <v>0</v>
      </c>
      <c r="N707" s="359"/>
      <c r="O707" s="1078">
        <v>6</v>
      </c>
      <c r="P707" s="1089">
        <f t="shared" si="23"/>
        <v>10200</v>
      </c>
    </row>
    <row r="708" spans="1:16" ht="15.75" thickBot="1" x14ac:dyDescent="0.25">
      <c r="A708" s="1097" t="s">
        <v>2333</v>
      </c>
      <c r="B708" s="1098" t="s">
        <v>2334</v>
      </c>
      <c r="C708" s="1099" t="s">
        <v>1444</v>
      </c>
      <c r="D708" s="359" t="s">
        <v>2442</v>
      </c>
      <c r="E708" s="1081">
        <v>1500</v>
      </c>
      <c r="F708" s="1047">
        <v>46560534</v>
      </c>
      <c r="G708" s="1107" t="s">
        <v>2632</v>
      </c>
      <c r="H708" s="1078" t="s">
        <v>2593</v>
      </c>
      <c r="I708" s="1102" t="s">
        <v>2338</v>
      </c>
      <c r="J708" s="1078" t="s">
        <v>2593</v>
      </c>
      <c r="K708" s="683"/>
      <c r="L708" s="1105">
        <v>0</v>
      </c>
      <c r="M708" s="1106">
        <f t="shared" si="22"/>
        <v>0</v>
      </c>
      <c r="N708" s="359"/>
      <c r="O708" s="1078">
        <v>6</v>
      </c>
      <c r="P708" s="1089">
        <f t="shared" si="23"/>
        <v>9000</v>
      </c>
    </row>
    <row r="709" spans="1:16" ht="15.75" thickBot="1" x14ac:dyDescent="0.25">
      <c r="A709" s="1097" t="s">
        <v>2333</v>
      </c>
      <c r="B709" s="1098" t="s">
        <v>2334</v>
      </c>
      <c r="C709" s="1099" t="s">
        <v>1444</v>
      </c>
      <c r="D709" s="359" t="s">
        <v>2606</v>
      </c>
      <c r="E709" s="1081">
        <v>1100</v>
      </c>
      <c r="F709" s="1047">
        <v>7467263</v>
      </c>
      <c r="G709" s="1107" t="s">
        <v>2633</v>
      </c>
      <c r="H709" s="1078" t="s">
        <v>2430</v>
      </c>
      <c r="I709" s="1102" t="s">
        <v>2338</v>
      </c>
      <c r="J709" s="1078" t="s">
        <v>2430</v>
      </c>
      <c r="K709" s="683"/>
      <c r="L709" s="1105">
        <v>0</v>
      </c>
      <c r="M709" s="1088">
        <f t="shared" si="22"/>
        <v>0</v>
      </c>
      <c r="N709" s="359"/>
      <c r="O709" s="1078">
        <v>6</v>
      </c>
      <c r="P709" s="1089">
        <f t="shared" si="23"/>
        <v>6600</v>
      </c>
    </row>
    <row r="710" spans="1:16" ht="15.75" thickBot="1" x14ac:dyDescent="0.25">
      <c r="A710" s="1097" t="s">
        <v>2333</v>
      </c>
      <c r="B710" s="1098" t="s">
        <v>2334</v>
      </c>
      <c r="C710" s="1099" t="s">
        <v>1444</v>
      </c>
      <c r="D710" s="359" t="s">
        <v>2594</v>
      </c>
      <c r="E710" s="1081">
        <v>2500</v>
      </c>
      <c r="F710" s="1047">
        <v>48044302</v>
      </c>
      <c r="G710" s="1107" t="s">
        <v>2634</v>
      </c>
      <c r="H710" s="1078" t="s">
        <v>613</v>
      </c>
      <c r="I710" s="1102" t="s">
        <v>2338</v>
      </c>
      <c r="J710" s="1078" t="s">
        <v>613</v>
      </c>
      <c r="K710" s="683"/>
      <c r="L710" s="1105">
        <v>0</v>
      </c>
      <c r="M710" s="1088">
        <f t="shared" si="22"/>
        <v>0</v>
      </c>
      <c r="N710" s="359"/>
      <c r="O710" s="1078">
        <v>6</v>
      </c>
      <c r="P710" s="1089">
        <f t="shared" si="23"/>
        <v>15000</v>
      </c>
    </row>
    <row r="711" spans="1:16" ht="15.75" thickBot="1" x14ac:dyDescent="0.25">
      <c r="A711" s="1097" t="s">
        <v>2333</v>
      </c>
      <c r="B711" s="1098" t="s">
        <v>2334</v>
      </c>
      <c r="C711" s="1099" t="s">
        <v>1444</v>
      </c>
      <c r="D711" s="359" t="s">
        <v>561</v>
      </c>
      <c r="E711" s="1081">
        <v>3800</v>
      </c>
      <c r="F711" s="1047">
        <v>45430199</v>
      </c>
      <c r="G711" s="1107" t="s">
        <v>2635</v>
      </c>
      <c r="H711" s="1078" t="s">
        <v>2636</v>
      </c>
      <c r="I711" s="1102" t="s">
        <v>2338</v>
      </c>
      <c r="J711" s="1078" t="s">
        <v>2636</v>
      </c>
      <c r="K711" s="683"/>
      <c r="L711" s="1105">
        <v>0</v>
      </c>
      <c r="M711" s="1106">
        <f t="shared" si="22"/>
        <v>0</v>
      </c>
      <c r="N711" s="359"/>
      <c r="O711" s="1078">
        <v>6</v>
      </c>
      <c r="P711" s="1089">
        <f t="shared" si="23"/>
        <v>22800</v>
      </c>
    </row>
    <row r="712" spans="1:16" ht="15.75" thickBot="1" x14ac:dyDescent="0.25">
      <c r="A712" s="1097" t="s">
        <v>2333</v>
      </c>
      <c r="B712" s="1098" t="s">
        <v>2334</v>
      </c>
      <c r="C712" s="1099" t="s">
        <v>1444</v>
      </c>
      <c r="D712" s="359" t="s">
        <v>2344</v>
      </c>
      <c r="E712" s="1081">
        <v>1500</v>
      </c>
      <c r="F712" s="1047">
        <v>40654586</v>
      </c>
      <c r="G712" s="1107" t="s">
        <v>2637</v>
      </c>
      <c r="H712" s="1078" t="s">
        <v>1716</v>
      </c>
      <c r="I712" s="1102" t="s">
        <v>2338</v>
      </c>
      <c r="J712" s="1078" t="s">
        <v>1716</v>
      </c>
      <c r="K712" s="683"/>
      <c r="L712" s="1105">
        <v>0</v>
      </c>
      <c r="M712" s="1088">
        <f t="shared" si="22"/>
        <v>0</v>
      </c>
      <c r="N712" s="359"/>
      <c r="O712" s="1078">
        <v>6</v>
      </c>
      <c r="P712" s="1089">
        <f t="shared" si="23"/>
        <v>9000</v>
      </c>
    </row>
    <row r="713" spans="1:16" ht="15.75" thickBot="1" x14ac:dyDescent="0.25">
      <c r="A713" s="1097" t="s">
        <v>2333</v>
      </c>
      <c r="B713" s="1098" t="s">
        <v>2334</v>
      </c>
      <c r="C713" s="1099" t="s">
        <v>1444</v>
      </c>
      <c r="D713" s="359" t="s">
        <v>2619</v>
      </c>
      <c r="E713" s="1081">
        <v>2800</v>
      </c>
      <c r="F713" s="1047">
        <v>42984269</v>
      </c>
      <c r="G713" s="1107" t="s">
        <v>2638</v>
      </c>
      <c r="H713" s="1078" t="s">
        <v>2337</v>
      </c>
      <c r="I713" s="1102" t="s">
        <v>2338</v>
      </c>
      <c r="J713" s="1078" t="s">
        <v>2337</v>
      </c>
      <c r="K713" s="683"/>
      <c r="L713" s="1105">
        <v>0</v>
      </c>
      <c r="M713" s="1088">
        <f t="shared" si="22"/>
        <v>0</v>
      </c>
      <c r="N713" s="359"/>
      <c r="O713" s="1078">
        <v>6</v>
      </c>
      <c r="P713" s="1089">
        <f t="shared" si="23"/>
        <v>16800</v>
      </c>
    </row>
    <row r="714" spans="1:16" ht="15.75" thickBot="1" x14ac:dyDescent="0.25">
      <c r="A714" s="1097" t="s">
        <v>2333</v>
      </c>
      <c r="B714" s="1098" t="s">
        <v>2334</v>
      </c>
      <c r="C714" s="1099" t="s">
        <v>1444</v>
      </c>
      <c r="D714" s="359" t="s">
        <v>561</v>
      </c>
      <c r="E714" s="1081">
        <v>2500</v>
      </c>
      <c r="F714" s="1047">
        <v>41332953</v>
      </c>
      <c r="G714" s="1107" t="s">
        <v>2639</v>
      </c>
      <c r="H714" s="1078" t="s">
        <v>613</v>
      </c>
      <c r="I714" s="1102" t="s">
        <v>2338</v>
      </c>
      <c r="J714" s="1078" t="s">
        <v>613</v>
      </c>
      <c r="K714" s="683"/>
      <c r="L714" s="1105">
        <v>0</v>
      </c>
      <c r="M714" s="1106">
        <f t="shared" si="22"/>
        <v>0</v>
      </c>
      <c r="N714" s="359"/>
      <c r="O714" s="1078">
        <v>6</v>
      </c>
      <c r="P714" s="1089">
        <f t="shared" si="23"/>
        <v>15000</v>
      </c>
    </row>
    <row r="715" spans="1:16" ht="15.75" thickBot="1" x14ac:dyDescent="0.25">
      <c r="A715" s="1097" t="s">
        <v>2333</v>
      </c>
      <c r="B715" s="1098" t="s">
        <v>2334</v>
      </c>
      <c r="C715" s="1099" t="s">
        <v>1444</v>
      </c>
      <c r="D715" s="359" t="s">
        <v>2610</v>
      </c>
      <c r="E715" s="1081">
        <v>5200</v>
      </c>
      <c r="F715" s="1047">
        <v>41820290</v>
      </c>
      <c r="G715" s="1107" t="s">
        <v>2640</v>
      </c>
      <c r="H715" s="1078" t="s">
        <v>2612</v>
      </c>
      <c r="I715" s="1102" t="s">
        <v>2338</v>
      </c>
      <c r="J715" s="1078" t="s">
        <v>2612</v>
      </c>
      <c r="K715" s="683"/>
      <c r="L715" s="1105">
        <v>0</v>
      </c>
      <c r="M715" s="1088">
        <f t="shared" si="22"/>
        <v>0</v>
      </c>
      <c r="N715" s="359"/>
      <c r="O715" s="1078">
        <v>6</v>
      </c>
      <c r="P715" s="1089">
        <f t="shared" si="23"/>
        <v>31200</v>
      </c>
    </row>
    <row r="716" spans="1:16" ht="15.75" thickBot="1" x14ac:dyDescent="0.25">
      <c r="A716" s="1097" t="s">
        <v>2333</v>
      </c>
      <c r="B716" s="1098" t="s">
        <v>2334</v>
      </c>
      <c r="C716" s="1099" t="s">
        <v>1444</v>
      </c>
      <c r="D716" s="359" t="s">
        <v>2594</v>
      </c>
      <c r="E716" s="1081">
        <v>3000</v>
      </c>
      <c r="F716" s="1047">
        <v>48885943</v>
      </c>
      <c r="G716" s="1107" t="s">
        <v>2641</v>
      </c>
      <c r="H716" s="1078" t="s">
        <v>2576</v>
      </c>
      <c r="I716" s="1102" t="s">
        <v>2338</v>
      </c>
      <c r="J716" s="1078" t="s">
        <v>2576</v>
      </c>
      <c r="K716" s="683"/>
      <c r="L716" s="1105">
        <v>0</v>
      </c>
      <c r="M716" s="1088">
        <f t="shared" si="22"/>
        <v>0</v>
      </c>
      <c r="N716" s="359"/>
      <c r="O716" s="1078">
        <v>6</v>
      </c>
      <c r="P716" s="1089">
        <f t="shared" si="23"/>
        <v>18000</v>
      </c>
    </row>
    <row r="717" spans="1:16" ht="15.75" thickBot="1" x14ac:dyDescent="0.25">
      <c r="A717" s="1097" t="s">
        <v>2333</v>
      </c>
      <c r="B717" s="1098" t="s">
        <v>2334</v>
      </c>
      <c r="C717" s="1099" t="s">
        <v>1444</v>
      </c>
      <c r="D717" s="359" t="s">
        <v>2614</v>
      </c>
      <c r="E717" s="1081">
        <v>4000</v>
      </c>
      <c r="F717" s="1047">
        <v>21458423</v>
      </c>
      <c r="G717" s="1107" t="s">
        <v>2642</v>
      </c>
      <c r="H717" s="1078" t="s">
        <v>2576</v>
      </c>
      <c r="I717" s="1102" t="s">
        <v>2338</v>
      </c>
      <c r="J717" s="1078" t="s">
        <v>2576</v>
      </c>
      <c r="K717" s="683"/>
      <c r="L717" s="1105">
        <v>0</v>
      </c>
      <c r="M717" s="1106">
        <f t="shared" si="22"/>
        <v>0</v>
      </c>
      <c r="N717" s="359"/>
      <c r="O717" s="1078">
        <v>6</v>
      </c>
      <c r="P717" s="1089">
        <f t="shared" si="23"/>
        <v>24000</v>
      </c>
    </row>
    <row r="718" spans="1:16" ht="15.75" thickBot="1" x14ac:dyDescent="0.25">
      <c r="A718" s="1097" t="s">
        <v>2333</v>
      </c>
      <c r="B718" s="1098" t="s">
        <v>2334</v>
      </c>
      <c r="C718" s="1099" t="s">
        <v>1444</v>
      </c>
      <c r="D718" s="359" t="s">
        <v>2621</v>
      </c>
      <c r="E718" s="1081">
        <v>2800</v>
      </c>
      <c r="F718" s="1047">
        <v>47026087</v>
      </c>
      <c r="G718" s="1107" t="s">
        <v>2643</v>
      </c>
      <c r="H718" s="1078" t="s">
        <v>2337</v>
      </c>
      <c r="I718" s="1102" t="s">
        <v>2338</v>
      </c>
      <c r="J718" s="1078" t="s">
        <v>2337</v>
      </c>
      <c r="K718" s="683"/>
      <c r="L718" s="1105">
        <v>0</v>
      </c>
      <c r="M718" s="1088">
        <f t="shared" si="22"/>
        <v>0</v>
      </c>
      <c r="N718" s="359"/>
      <c r="O718" s="1078">
        <v>6</v>
      </c>
      <c r="P718" s="1089">
        <f t="shared" si="23"/>
        <v>16800</v>
      </c>
    </row>
    <row r="719" spans="1:16" ht="15.75" thickBot="1" x14ac:dyDescent="0.25">
      <c r="A719" s="1097" t="s">
        <v>2333</v>
      </c>
      <c r="B719" s="1098" t="s">
        <v>2334</v>
      </c>
      <c r="C719" s="1099" t="s">
        <v>1444</v>
      </c>
      <c r="D719" s="359" t="s">
        <v>2365</v>
      </c>
      <c r="E719" s="1081">
        <v>1300</v>
      </c>
      <c r="F719" s="1047">
        <v>25611989</v>
      </c>
      <c r="G719" s="1107" t="s">
        <v>2644</v>
      </c>
      <c r="H719" s="1078" t="s">
        <v>904</v>
      </c>
      <c r="I719" s="1102" t="s">
        <v>2338</v>
      </c>
      <c r="J719" s="1078" t="s">
        <v>904</v>
      </c>
      <c r="K719" s="683"/>
      <c r="L719" s="1105">
        <v>0</v>
      </c>
      <c r="M719" s="1088">
        <f t="shared" si="22"/>
        <v>0</v>
      </c>
      <c r="N719" s="359"/>
      <c r="O719" s="1078">
        <v>6</v>
      </c>
      <c r="P719" s="1089">
        <f t="shared" si="23"/>
        <v>7800</v>
      </c>
    </row>
    <row r="720" spans="1:16" ht="15.75" thickBot="1" x14ac:dyDescent="0.25">
      <c r="A720" s="1097" t="s">
        <v>2333</v>
      </c>
      <c r="B720" s="1098" t="s">
        <v>2334</v>
      </c>
      <c r="C720" s="1099" t="s">
        <v>1444</v>
      </c>
      <c r="D720" s="359" t="s">
        <v>2365</v>
      </c>
      <c r="E720" s="1081">
        <v>1700</v>
      </c>
      <c r="F720" s="1047">
        <v>44235945</v>
      </c>
      <c r="G720" s="1107" t="s">
        <v>2645</v>
      </c>
      <c r="H720" s="1078" t="s">
        <v>2565</v>
      </c>
      <c r="I720" s="1102" t="s">
        <v>2338</v>
      </c>
      <c r="J720" s="1078" t="s">
        <v>2565</v>
      </c>
      <c r="K720" s="683"/>
      <c r="L720" s="1105">
        <v>0</v>
      </c>
      <c r="M720" s="1106">
        <f t="shared" si="22"/>
        <v>0</v>
      </c>
      <c r="N720" s="359"/>
      <c r="O720" s="1078">
        <v>6</v>
      </c>
      <c r="P720" s="1089">
        <f t="shared" si="23"/>
        <v>10200</v>
      </c>
    </row>
    <row r="721" spans="1:16" ht="15.75" thickBot="1" x14ac:dyDescent="0.25">
      <c r="A721" s="1097" t="s">
        <v>2333</v>
      </c>
      <c r="B721" s="1098" t="s">
        <v>2334</v>
      </c>
      <c r="C721" s="1099" t="s">
        <v>1444</v>
      </c>
      <c r="D721" s="359" t="s">
        <v>2646</v>
      </c>
      <c r="E721" s="1081">
        <v>1700</v>
      </c>
      <c r="F721" s="1047">
        <v>25719410</v>
      </c>
      <c r="G721" s="1107" t="s">
        <v>2647</v>
      </c>
      <c r="H721" s="1078" t="s">
        <v>2565</v>
      </c>
      <c r="I721" s="1102" t="s">
        <v>2338</v>
      </c>
      <c r="J721" s="1078" t="s">
        <v>2565</v>
      </c>
      <c r="K721" s="683"/>
      <c r="L721" s="1105">
        <v>0</v>
      </c>
      <c r="M721" s="1088">
        <f t="shared" si="22"/>
        <v>0</v>
      </c>
      <c r="N721" s="359"/>
      <c r="O721" s="1078">
        <v>6</v>
      </c>
      <c r="P721" s="1089">
        <f t="shared" si="23"/>
        <v>10200</v>
      </c>
    </row>
    <row r="722" spans="1:16" ht="15.75" thickBot="1" x14ac:dyDescent="0.25">
      <c r="A722" s="1097" t="s">
        <v>2333</v>
      </c>
      <c r="B722" s="1098" t="s">
        <v>2334</v>
      </c>
      <c r="C722" s="1099" t="s">
        <v>1444</v>
      </c>
      <c r="D722" s="359" t="s">
        <v>2442</v>
      </c>
      <c r="E722" s="1081">
        <v>1700</v>
      </c>
      <c r="F722" s="1047">
        <v>41212374</v>
      </c>
      <c r="G722" s="1107" t="s">
        <v>2648</v>
      </c>
      <c r="H722" s="1078" t="s">
        <v>2565</v>
      </c>
      <c r="I722" s="1102" t="s">
        <v>2338</v>
      </c>
      <c r="J722" s="1078" t="s">
        <v>2565</v>
      </c>
      <c r="K722" s="683"/>
      <c r="L722" s="1105">
        <v>0</v>
      </c>
      <c r="M722" s="1088">
        <f t="shared" si="22"/>
        <v>0</v>
      </c>
      <c r="N722" s="359"/>
      <c r="O722" s="1078">
        <v>6</v>
      </c>
      <c r="P722" s="1089">
        <f t="shared" si="23"/>
        <v>10200</v>
      </c>
    </row>
    <row r="723" spans="1:16" ht="15.75" thickBot="1" x14ac:dyDescent="0.25">
      <c r="A723" s="1097" t="s">
        <v>2333</v>
      </c>
      <c r="B723" s="1098" t="s">
        <v>2334</v>
      </c>
      <c r="C723" s="1099" t="s">
        <v>1444</v>
      </c>
      <c r="D723" s="359" t="s">
        <v>2356</v>
      </c>
      <c r="E723" s="1081">
        <v>1700</v>
      </c>
      <c r="F723" s="1047">
        <v>41943086</v>
      </c>
      <c r="G723" s="1107" t="s">
        <v>2649</v>
      </c>
      <c r="H723" s="1078" t="s">
        <v>2565</v>
      </c>
      <c r="I723" s="1102" t="s">
        <v>2338</v>
      </c>
      <c r="J723" s="1078" t="s">
        <v>2565</v>
      </c>
      <c r="K723" s="683"/>
      <c r="L723" s="1105">
        <v>0</v>
      </c>
      <c r="M723" s="1106">
        <f t="shared" si="22"/>
        <v>0</v>
      </c>
      <c r="N723" s="359"/>
      <c r="O723" s="1078">
        <v>6</v>
      </c>
      <c r="P723" s="1089">
        <f t="shared" si="23"/>
        <v>10200</v>
      </c>
    </row>
    <row r="724" spans="1:16" ht="15.75" thickBot="1" x14ac:dyDescent="0.25">
      <c r="A724" s="1097" t="s">
        <v>2333</v>
      </c>
      <c r="B724" s="1098" t="s">
        <v>2334</v>
      </c>
      <c r="C724" s="1099" t="s">
        <v>1444</v>
      </c>
      <c r="D724" s="359" t="s">
        <v>2498</v>
      </c>
      <c r="E724" s="1081">
        <v>2800</v>
      </c>
      <c r="F724" s="1047">
        <v>42627264</v>
      </c>
      <c r="G724" s="1107" t="s">
        <v>2650</v>
      </c>
      <c r="H724" s="1078" t="s">
        <v>2337</v>
      </c>
      <c r="I724" s="1102" t="s">
        <v>2338</v>
      </c>
      <c r="J724" s="1078" t="s">
        <v>2337</v>
      </c>
      <c r="K724" s="683"/>
      <c r="L724" s="1105">
        <v>0</v>
      </c>
      <c r="M724" s="1088">
        <f t="shared" si="22"/>
        <v>0</v>
      </c>
      <c r="N724" s="359"/>
      <c r="O724" s="1078">
        <v>6</v>
      </c>
      <c r="P724" s="1089">
        <f t="shared" si="23"/>
        <v>16800</v>
      </c>
    </row>
    <row r="725" spans="1:16" ht="15.75" thickBot="1" x14ac:dyDescent="0.25">
      <c r="A725" s="1097" t="s">
        <v>2333</v>
      </c>
      <c r="B725" s="1098" t="s">
        <v>2334</v>
      </c>
      <c r="C725" s="1099" t="s">
        <v>1444</v>
      </c>
      <c r="D725" s="359" t="s">
        <v>2442</v>
      </c>
      <c r="E725" s="1081">
        <v>1500</v>
      </c>
      <c r="F725" s="1047">
        <v>44138511</v>
      </c>
      <c r="G725" s="1107" t="s">
        <v>2651</v>
      </c>
      <c r="H725" s="1078" t="s">
        <v>2593</v>
      </c>
      <c r="I725" s="1102" t="s">
        <v>2338</v>
      </c>
      <c r="J725" s="1078" t="s">
        <v>2593</v>
      </c>
      <c r="K725" s="683"/>
      <c r="L725" s="1105">
        <v>0</v>
      </c>
      <c r="M725" s="1088">
        <f t="shared" si="22"/>
        <v>0</v>
      </c>
      <c r="N725" s="359"/>
      <c r="O725" s="1078">
        <v>6</v>
      </c>
      <c r="P725" s="1089">
        <f t="shared" si="23"/>
        <v>9000</v>
      </c>
    </row>
    <row r="726" spans="1:16" ht="15.75" thickBot="1" x14ac:dyDescent="0.25">
      <c r="A726" s="1097" t="s">
        <v>2333</v>
      </c>
      <c r="B726" s="1098" t="s">
        <v>2334</v>
      </c>
      <c r="C726" s="1099" t="s">
        <v>1444</v>
      </c>
      <c r="D726" s="359" t="s">
        <v>2442</v>
      </c>
      <c r="E726" s="1081">
        <v>1500</v>
      </c>
      <c r="F726" s="1047">
        <v>42824560</v>
      </c>
      <c r="G726" s="1107" t="s">
        <v>2652</v>
      </c>
      <c r="H726" s="1078" t="s">
        <v>2593</v>
      </c>
      <c r="I726" s="1102" t="s">
        <v>2338</v>
      </c>
      <c r="J726" s="1078" t="s">
        <v>2593</v>
      </c>
      <c r="K726" s="683"/>
      <c r="L726" s="1105">
        <v>0</v>
      </c>
      <c r="M726" s="1106">
        <f t="shared" si="22"/>
        <v>0</v>
      </c>
      <c r="N726" s="359"/>
      <c r="O726" s="1078">
        <v>6</v>
      </c>
      <c r="P726" s="1089">
        <f t="shared" si="23"/>
        <v>9000</v>
      </c>
    </row>
    <row r="727" spans="1:16" ht="15.75" thickBot="1" x14ac:dyDescent="0.25">
      <c r="A727" s="1097" t="s">
        <v>2333</v>
      </c>
      <c r="B727" s="1098" t="s">
        <v>2334</v>
      </c>
      <c r="C727" s="1099" t="s">
        <v>1444</v>
      </c>
      <c r="D727" s="359" t="s">
        <v>2527</v>
      </c>
      <c r="E727" s="1081">
        <v>2800</v>
      </c>
      <c r="F727" s="1047">
        <v>45937819</v>
      </c>
      <c r="G727" s="1107" t="s">
        <v>2653</v>
      </c>
      <c r="H727" s="1078" t="s">
        <v>2337</v>
      </c>
      <c r="I727" s="1102" t="s">
        <v>2338</v>
      </c>
      <c r="J727" s="1078" t="s">
        <v>2337</v>
      </c>
      <c r="K727" s="683"/>
      <c r="L727" s="1105">
        <v>0</v>
      </c>
      <c r="M727" s="1088">
        <f t="shared" si="22"/>
        <v>0</v>
      </c>
      <c r="N727" s="359"/>
      <c r="O727" s="1078">
        <v>6</v>
      </c>
      <c r="P727" s="1089">
        <f t="shared" si="23"/>
        <v>16800</v>
      </c>
    </row>
    <row r="728" spans="1:16" ht="15.75" thickBot="1" x14ac:dyDescent="0.25">
      <c r="A728" s="1097" t="s">
        <v>2333</v>
      </c>
      <c r="B728" s="1098" t="s">
        <v>2334</v>
      </c>
      <c r="C728" s="1099" t="s">
        <v>1444</v>
      </c>
      <c r="D728" s="359" t="s">
        <v>2602</v>
      </c>
      <c r="E728" s="1081">
        <v>1700</v>
      </c>
      <c r="F728" s="1047">
        <v>25818396</v>
      </c>
      <c r="G728" s="1107" t="s">
        <v>2654</v>
      </c>
      <c r="H728" s="1078" t="s">
        <v>2565</v>
      </c>
      <c r="I728" s="1102" t="s">
        <v>2338</v>
      </c>
      <c r="J728" s="1078" t="s">
        <v>2565</v>
      </c>
      <c r="K728" s="683"/>
      <c r="L728" s="1105">
        <v>0</v>
      </c>
      <c r="M728" s="1088">
        <f t="shared" si="22"/>
        <v>0</v>
      </c>
      <c r="N728" s="359"/>
      <c r="O728" s="1078">
        <v>6</v>
      </c>
      <c r="P728" s="1089">
        <f t="shared" si="23"/>
        <v>10200</v>
      </c>
    </row>
    <row r="729" spans="1:16" ht="15.75" thickBot="1" x14ac:dyDescent="0.25">
      <c r="A729" s="1097" t="s">
        <v>2333</v>
      </c>
      <c r="B729" s="1098" t="s">
        <v>2334</v>
      </c>
      <c r="C729" s="1099" t="s">
        <v>1444</v>
      </c>
      <c r="D729" s="359" t="s">
        <v>2517</v>
      </c>
      <c r="E729" s="1081">
        <v>1700</v>
      </c>
      <c r="F729" s="1047">
        <v>42587897</v>
      </c>
      <c r="G729" s="1107" t="s">
        <v>2655</v>
      </c>
      <c r="H729" s="1078" t="s">
        <v>2565</v>
      </c>
      <c r="I729" s="1102" t="s">
        <v>2338</v>
      </c>
      <c r="J729" s="1078" t="s">
        <v>2565</v>
      </c>
      <c r="K729" s="683"/>
      <c r="L729" s="1105">
        <v>0</v>
      </c>
      <c r="M729" s="1106">
        <f t="shared" si="22"/>
        <v>0</v>
      </c>
      <c r="N729" s="359"/>
      <c r="O729" s="1078">
        <v>6</v>
      </c>
      <c r="P729" s="1089">
        <f t="shared" si="23"/>
        <v>10200</v>
      </c>
    </row>
    <row r="730" spans="1:16" ht="15.75" thickBot="1" x14ac:dyDescent="0.25">
      <c r="A730" s="1097" t="s">
        <v>2333</v>
      </c>
      <c r="B730" s="1098" t="s">
        <v>2334</v>
      </c>
      <c r="C730" s="1099" t="s">
        <v>1444</v>
      </c>
      <c r="D730" s="359" t="s">
        <v>2344</v>
      </c>
      <c r="E730" s="1081">
        <v>1500</v>
      </c>
      <c r="F730" s="1047">
        <v>42803195</v>
      </c>
      <c r="G730" s="1107" t="s">
        <v>2656</v>
      </c>
      <c r="H730" s="1078" t="s">
        <v>1716</v>
      </c>
      <c r="I730" s="1102" t="s">
        <v>2338</v>
      </c>
      <c r="J730" s="1078" t="s">
        <v>1716</v>
      </c>
      <c r="K730" s="683"/>
      <c r="L730" s="1105">
        <v>0</v>
      </c>
      <c r="M730" s="1088">
        <f t="shared" si="22"/>
        <v>0</v>
      </c>
      <c r="N730" s="359"/>
      <c r="O730" s="1078">
        <v>6</v>
      </c>
      <c r="P730" s="1089">
        <f t="shared" si="23"/>
        <v>9000</v>
      </c>
    </row>
    <row r="731" spans="1:16" ht="15.75" thickBot="1" x14ac:dyDescent="0.25">
      <c r="A731" s="1097" t="s">
        <v>2333</v>
      </c>
      <c r="B731" s="1098" t="s">
        <v>2334</v>
      </c>
      <c r="C731" s="1099" t="s">
        <v>1444</v>
      </c>
      <c r="D731" s="359" t="s">
        <v>2657</v>
      </c>
      <c r="E731" s="1081">
        <v>5500</v>
      </c>
      <c r="F731" s="1047">
        <v>44660438</v>
      </c>
      <c r="G731" s="1107" t="s">
        <v>2658</v>
      </c>
      <c r="H731" s="1078" t="s">
        <v>2659</v>
      </c>
      <c r="I731" s="1102" t="s">
        <v>2338</v>
      </c>
      <c r="J731" s="1078" t="s">
        <v>2659</v>
      </c>
      <c r="K731" s="683"/>
      <c r="L731" s="1105">
        <v>0</v>
      </c>
      <c r="M731" s="1088">
        <f t="shared" si="22"/>
        <v>0</v>
      </c>
      <c r="N731" s="359"/>
      <c r="O731" s="1078">
        <v>6</v>
      </c>
      <c r="P731" s="1089">
        <f t="shared" si="23"/>
        <v>33000</v>
      </c>
    </row>
    <row r="732" spans="1:16" ht="15.75" thickBot="1" x14ac:dyDescent="0.25">
      <c r="A732" s="1097" t="s">
        <v>2333</v>
      </c>
      <c r="B732" s="1098" t="s">
        <v>2334</v>
      </c>
      <c r="C732" s="1099" t="s">
        <v>1444</v>
      </c>
      <c r="D732" s="359" t="s">
        <v>2505</v>
      </c>
      <c r="E732" s="1081">
        <v>1400</v>
      </c>
      <c r="F732" s="1047">
        <v>46410498</v>
      </c>
      <c r="G732" s="1107" t="s">
        <v>2660</v>
      </c>
      <c r="H732" s="1078" t="s">
        <v>1651</v>
      </c>
      <c r="I732" s="1102" t="s">
        <v>2338</v>
      </c>
      <c r="J732" s="1078" t="s">
        <v>1651</v>
      </c>
      <c r="K732" s="683"/>
      <c r="L732" s="1105">
        <v>0</v>
      </c>
      <c r="M732" s="1106">
        <f t="shared" si="22"/>
        <v>0</v>
      </c>
      <c r="N732" s="359"/>
      <c r="O732" s="1078">
        <v>6</v>
      </c>
      <c r="P732" s="1089">
        <f t="shared" si="23"/>
        <v>8400</v>
      </c>
    </row>
    <row r="733" spans="1:16" ht="15.75" thickBot="1" x14ac:dyDescent="0.25">
      <c r="A733" s="1097" t="s">
        <v>2333</v>
      </c>
      <c r="B733" s="1098" t="s">
        <v>2334</v>
      </c>
      <c r="C733" s="1099" t="s">
        <v>1444</v>
      </c>
      <c r="D733" s="359" t="s">
        <v>2533</v>
      </c>
      <c r="E733" s="1081">
        <v>2500</v>
      </c>
      <c r="F733" s="1047">
        <v>46198359</v>
      </c>
      <c r="G733" s="1107" t="s">
        <v>2661</v>
      </c>
      <c r="H733" s="1078" t="s">
        <v>613</v>
      </c>
      <c r="I733" s="1102" t="s">
        <v>2338</v>
      </c>
      <c r="J733" s="1078" t="s">
        <v>613</v>
      </c>
      <c r="K733" s="683"/>
      <c r="L733" s="1105">
        <v>0</v>
      </c>
      <c r="M733" s="1088">
        <f t="shared" si="22"/>
        <v>0</v>
      </c>
      <c r="N733" s="359"/>
      <c r="O733" s="1078">
        <v>6</v>
      </c>
      <c r="P733" s="1089">
        <f t="shared" si="23"/>
        <v>15000</v>
      </c>
    </row>
    <row r="734" spans="1:16" ht="15.75" thickBot="1" x14ac:dyDescent="0.25">
      <c r="A734" s="1097" t="s">
        <v>2333</v>
      </c>
      <c r="B734" s="1098" t="s">
        <v>2334</v>
      </c>
      <c r="C734" s="1099" t="s">
        <v>1444</v>
      </c>
      <c r="D734" s="359" t="s">
        <v>2415</v>
      </c>
      <c r="E734" s="1081">
        <v>2500</v>
      </c>
      <c r="F734" s="1047">
        <v>48167837</v>
      </c>
      <c r="G734" s="1107" t="s">
        <v>2662</v>
      </c>
      <c r="H734" s="1078" t="s">
        <v>613</v>
      </c>
      <c r="I734" s="1102" t="s">
        <v>2338</v>
      </c>
      <c r="J734" s="1078" t="s">
        <v>613</v>
      </c>
      <c r="K734" s="683"/>
      <c r="L734" s="1105">
        <v>0</v>
      </c>
      <c r="M734" s="1088">
        <f t="shared" si="22"/>
        <v>0</v>
      </c>
      <c r="N734" s="359"/>
      <c r="O734" s="1078">
        <v>6</v>
      </c>
      <c r="P734" s="1089">
        <f t="shared" si="23"/>
        <v>15000</v>
      </c>
    </row>
    <row r="735" spans="1:16" ht="15.75" thickBot="1" x14ac:dyDescent="0.25">
      <c r="A735" s="1097" t="s">
        <v>2333</v>
      </c>
      <c r="B735" s="1098" t="s">
        <v>2334</v>
      </c>
      <c r="C735" s="1099" t="s">
        <v>1444</v>
      </c>
      <c r="D735" s="359" t="s">
        <v>2396</v>
      </c>
      <c r="E735" s="1081">
        <v>2800</v>
      </c>
      <c r="F735" s="1047">
        <v>44742943</v>
      </c>
      <c r="G735" s="1107" t="s">
        <v>2663</v>
      </c>
      <c r="H735" s="1078" t="s">
        <v>1673</v>
      </c>
      <c r="I735" s="1102" t="s">
        <v>2338</v>
      </c>
      <c r="J735" s="1078" t="s">
        <v>1673</v>
      </c>
      <c r="K735" s="683"/>
      <c r="L735" s="1105">
        <v>0</v>
      </c>
      <c r="M735" s="1106">
        <f t="shared" si="22"/>
        <v>0</v>
      </c>
      <c r="N735" s="359"/>
      <c r="O735" s="1078">
        <v>6</v>
      </c>
      <c r="P735" s="1089">
        <f t="shared" si="23"/>
        <v>16800</v>
      </c>
    </row>
    <row r="736" spans="1:16" ht="15.75" thickBot="1" x14ac:dyDescent="0.25">
      <c r="A736" s="1097" t="s">
        <v>2333</v>
      </c>
      <c r="B736" s="1098" t="s">
        <v>2334</v>
      </c>
      <c r="C736" s="1099" t="s">
        <v>1444</v>
      </c>
      <c r="D736" s="359" t="s">
        <v>2356</v>
      </c>
      <c r="E736" s="1081">
        <v>1700</v>
      </c>
      <c r="F736" s="1047">
        <v>75310585</v>
      </c>
      <c r="G736" s="1107" t="s">
        <v>2664</v>
      </c>
      <c r="H736" s="1078" t="s">
        <v>2565</v>
      </c>
      <c r="I736" s="1102" t="s">
        <v>2338</v>
      </c>
      <c r="J736" s="1078" t="s">
        <v>2565</v>
      </c>
      <c r="K736" s="683"/>
      <c r="L736" s="1105">
        <v>0</v>
      </c>
      <c r="M736" s="1088">
        <f t="shared" si="22"/>
        <v>0</v>
      </c>
      <c r="N736" s="359"/>
      <c r="O736" s="1078">
        <v>6</v>
      </c>
      <c r="P736" s="1089">
        <f t="shared" si="23"/>
        <v>10200</v>
      </c>
    </row>
    <row r="737" spans="1:16" ht="15.75" thickBot="1" x14ac:dyDescent="0.25">
      <c r="A737" s="1097" t="s">
        <v>2333</v>
      </c>
      <c r="B737" s="1098" t="s">
        <v>2334</v>
      </c>
      <c r="C737" s="1099" t="s">
        <v>1444</v>
      </c>
      <c r="D737" s="359" t="s">
        <v>2537</v>
      </c>
      <c r="E737" s="1081">
        <v>2500</v>
      </c>
      <c r="F737" s="1047">
        <v>40720063</v>
      </c>
      <c r="G737" s="1107" t="s">
        <v>2665</v>
      </c>
      <c r="H737" s="1078" t="s">
        <v>613</v>
      </c>
      <c r="I737" s="1102" t="s">
        <v>2338</v>
      </c>
      <c r="J737" s="1078" t="s">
        <v>613</v>
      </c>
      <c r="K737" s="683"/>
      <c r="L737" s="1105">
        <v>0</v>
      </c>
      <c r="M737" s="1088">
        <f t="shared" si="22"/>
        <v>0</v>
      </c>
      <c r="N737" s="359"/>
      <c r="O737" s="1078">
        <v>6</v>
      </c>
      <c r="P737" s="1089">
        <f t="shared" si="23"/>
        <v>15000</v>
      </c>
    </row>
    <row r="738" spans="1:16" ht="15.75" thickBot="1" x14ac:dyDescent="0.25">
      <c r="A738" s="1097" t="s">
        <v>2333</v>
      </c>
      <c r="B738" s="1098" t="s">
        <v>2334</v>
      </c>
      <c r="C738" s="1099" t="s">
        <v>1444</v>
      </c>
      <c r="D738" s="359" t="s">
        <v>2666</v>
      </c>
      <c r="E738" s="1081">
        <v>5500</v>
      </c>
      <c r="F738" s="1047">
        <v>40924477</v>
      </c>
      <c r="G738" s="1107" t="s">
        <v>2667</v>
      </c>
      <c r="H738" s="1078" t="s">
        <v>2618</v>
      </c>
      <c r="I738" s="1102" t="s">
        <v>2338</v>
      </c>
      <c r="J738" s="1078" t="s">
        <v>2618</v>
      </c>
      <c r="K738" s="683"/>
      <c r="L738" s="1105">
        <v>0</v>
      </c>
      <c r="M738" s="1106">
        <f t="shared" si="22"/>
        <v>0</v>
      </c>
      <c r="N738" s="359"/>
      <c r="O738" s="1078">
        <v>6</v>
      </c>
      <c r="P738" s="1089">
        <f t="shared" si="23"/>
        <v>33000</v>
      </c>
    </row>
    <row r="739" spans="1:16" ht="15.75" thickBot="1" x14ac:dyDescent="0.25">
      <c r="A739" s="1097" t="s">
        <v>2333</v>
      </c>
      <c r="B739" s="1098" t="s">
        <v>2334</v>
      </c>
      <c r="C739" s="1099" t="s">
        <v>1444</v>
      </c>
      <c r="D739" s="359" t="s">
        <v>2344</v>
      </c>
      <c r="E739" s="1081">
        <v>1500</v>
      </c>
      <c r="F739" s="1047">
        <v>42919783</v>
      </c>
      <c r="G739" s="1107" t="s">
        <v>2668</v>
      </c>
      <c r="H739" s="1078" t="s">
        <v>1716</v>
      </c>
      <c r="I739" s="1102" t="s">
        <v>2338</v>
      </c>
      <c r="J739" s="1078" t="s">
        <v>1716</v>
      </c>
      <c r="K739" s="683"/>
      <c r="L739" s="1105">
        <v>0</v>
      </c>
      <c r="M739" s="1088">
        <f t="shared" si="22"/>
        <v>0</v>
      </c>
      <c r="N739" s="359"/>
      <c r="O739" s="1078">
        <v>6</v>
      </c>
      <c r="P739" s="1089">
        <f t="shared" si="23"/>
        <v>9000</v>
      </c>
    </row>
    <row r="740" spans="1:16" ht="15.75" thickBot="1" x14ac:dyDescent="0.25">
      <c r="A740" s="1097" t="s">
        <v>2333</v>
      </c>
      <c r="B740" s="1098" t="s">
        <v>2334</v>
      </c>
      <c r="C740" s="1099" t="s">
        <v>1444</v>
      </c>
      <c r="D740" s="359" t="s">
        <v>2442</v>
      </c>
      <c r="E740" s="1081">
        <v>1500</v>
      </c>
      <c r="F740" s="1047">
        <v>73136091</v>
      </c>
      <c r="G740" s="1107" t="s">
        <v>2669</v>
      </c>
      <c r="H740" s="1078" t="s">
        <v>2593</v>
      </c>
      <c r="I740" s="1102" t="s">
        <v>2338</v>
      </c>
      <c r="J740" s="1078" t="s">
        <v>2593</v>
      </c>
      <c r="K740" s="683"/>
      <c r="L740" s="1105">
        <v>0</v>
      </c>
      <c r="M740" s="1088">
        <f t="shared" si="22"/>
        <v>0</v>
      </c>
      <c r="N740" s="359"/>
      <c r="O740" s="1078">
        <v>6</v>
      </c>
      <c r="P740" s="1089">
        <f t="shared" si="23"/>
        <v>9000</v>
      </c>
    </row>
    <row r="741" spans="1:16" ht="15.75" thickBot="1" x14ac:dyDescent="0.25">
      <c r="A741" s="1097" t="s">
        <v>2333</v>
      </c>
      <c r="B741" s="1098" t="s">
        <v>2334</v>
      </c>
      <c r="C741" s="1099" t="s">
        <v>1444</v>
      </c>
      <c r="D741" s="359" t="s">
        <v>2442</v>
      </c>
      <c r="E741" s="1081">
        <v>1500</v>
      </c>
      <c r="F741" s="1047">
        <v>46785486</v>
      </c>
      <c r="G741" s="1107" t="s">
        <v>2670</v>
      </c>
      <c r="H741" s="1078" t="s">
        <v>2593</v>
      </c>
      <c r="I741" s="1102" t="s">
        <v>2338</v>
      </c>
      <c r="J741" s="1078" t="s">
        <v>2593</v>
      </c>
      <c r="K741" s="683"/>
      <c r="L741" s="1105">
        <v>0</v>
      </c>
      <c r="M741" s="1106">
        <f t="shared" si="22"/>
        <v>0</v>
      </c>
      <c r="N741" s="359"/>
      <c r="O741" s="1078">
        <v>6</v>
      </c>
      <c r="P741" s="1089">
        <f t="shared" si="23"/>
        <v>9000</v>
      </c>
    </row>
    <row r="742" spans="1:16" ht="15.75" thickBot="1" x14ac:dyDescent="0.25">
      <c r="A742" s="1097" t="s">
        <v>2333</v>
      </c>
      <c r="B742" s="1098" t="s">
        <v>2334</v>
      </c>
      <c r="C742" s="1099" t="s">
        <v>1444</v>
      </c>
      <c r="D742" s="359" t="s">
        <v>2341</v>
      </c>
      <c r="E742" s="1081">
        <v>5500</v>
      </c>
      <c r="F742" s="1047">
        <v>43942467</v>
      </c>
      <c r="G742" s="1107" t="s">
        <v>2671</v>
      </c>
      <c r="H742" s="1078" t="s">
        <v>2618</v>
      </c>
      <c r="I742" s="1102" t="s">
        <v>2338</v>
      </c>
      <c r="J742" s="1078" t="s">
        <v>2618</v>
      </c>
      <c r="K742" s="683"/>
      <c r="L742" s="1105">
        <v>0</v>
      </c>
      <c r="M742" s="1088">
        <f t="shared" si="22"/>
        <v>0</v>
      </c>
      <c r="N742" s="359"/>
      <c r="O742" s="1078">
        <v>6</v>
      </c>
      <c r="P742" s="1089">
        <f t="shared" si="23"/>
        <v>33000</v>
      </c>
    </row>
    <row r="743" spans="1:16" ht="15.75" thickBot="1" x14ac:dyDescent="0.25">
      <c r="A743" s="1097" t="s">
        <v>2333</v>
      </c>
      <c r="B743" s="1098" t="s">
        <v>2334</v>
      </c>
      <c r="C743" s="1099" t="s">
        <v>1444</v>
      </c>
      <c r="D743" s="359" t="s">
        <v>2442</v>
      </c>
      <c r="E743" s="1081">
        <v>1500</v>
      </c>
      <c r="F743" s="1047">
        <v>47313884</v>
      </c>
      <c r="G743" s="1107" t="s">
        <v>2672</v>
      </c>
      <c r="H743" s="1078" t="s">
        <v>2593</v>
      </c>
      <c r="I743" s="1102" t="s">
        <v>2338</v>
      </c>
      <c r="J743" s="1078" t="s">
        <v>2593</v>
      </c>
      <c r="K743" s="683"/>
      <c r="L743" s="1105">
        <v>0</v>
      </c>
      <c r="M743" s="1088">
        <f t="shared" si="22"/>
        <v>0</v>
      </c>
      <c r="N743" s="359"/>
      <c r="O743" s="1078">
        <v>6</v>
      </c>
      <c r="P743" s="1089">
        <f t="shared" si="23"/>
        <v>9000</v>
      </c>
    </row>
    <row r="744" spans="1:16" ht="15.75" thickBot="1" x14ac:dyDescent="0.25">
      <c r="A744" s="1097" t="s">
        <v>2333</v>
      </c>
      <c r="B744" s="1098" t="s">
        <v>2334</v>
      </c>
      <c r="C744" s="1099" t="s">
        <v>1444</v>
      </c>
      <c r="D744" s="359" t="s">
        <v>2625</v>
      </c>
      <c r="E744" s="1081">
        <v>2800</v>
      </c>
      <c r="F744" s="1047">
        <v>10470007</v>
      </c>
      <c r="G744" s="1107" t="s">
        <v>2673</v>
      </c>
      <c r="H744" s="1078" t="s">
        <v>1646</v>
      </c>
      <c r="I744" s="1102" t="s">
        <v>2338</v>
      </c>
      <c r="J744" s="1078" t="s">
        <v>1646</v>
      </c>
      <c r="K744" s="683"/>
      <c r="L744" s="1105">
        <v>0</v>
      </c>
      <c r="M744" s="1106">
        <f t="shared" si="22"/>
        <v>0</v>
      </c>
      <c r="N744" s="359"/>
      <c r="O744" s="1078">
        <v>6</v>
      </c>
      <c r="P744" s="1089">
        <f t="shared" si="23"/>
        <v>16800</v>
      </c>
    </row>
    <row r="745" spans="1:16" ht="15.75" thickBot="1" x14ac:dyDescent="0.25">
      <c r="A745" s="1097" t="s">
        <v>2333</v>
      </c>
      <c r="B745" s="1098" t="s">
        <v>2334</v>
      </c>
      <c r="C745" s="1099" t="s">
        <v>1444</v>
      </c>
      <c r="D745" s="359" t="s">
        <v>2344</v>
      </c>
      <c r="E745" s="1081">
        <v>1500</v>
      </c>
      <c r="F745" s="1047">
        <v>25519791</v>
      </c>
      <c r="G745" s="1107" t="s">
        <v>2674</v>
      </c>
      <c r="H745" s="1078" t="s">
        <v>1716</v>
      </c>
      <c r="I745" s="1102" t="s">
        <v>2338</v>
      </c>
      <c r="J745" s="1078" t="s">
        <v>1716</v>
      </c>
      <c r="K745" s="683"/>
      <c r="L745" s="1105">
        <v>0</v>
      </c>
      <c r="M745" s="1088">
        <f t="shared" si="22"/>
        <v>0</v>
      </c>
      <c r="N745" s="359"/>
      <c r="O745" s="1078">
        <v>6</v>
      </c>
      <c r="P745" s="1089">
        <f t="shared" si="23"/>
        <v>9000</v>
      </c>
    </row>
    <row r="746" spans="1:16" ht="15.75" thickBot="1" x14ac:dyDescent="0.25">
      <c r="A746" s="1097" t="s">
        <v>2333</v>
      </c>
      <c r="B746" s="1098" t="s">
        <v>2334</v>
      </c>
      <c r="C746" s="1099" t="s">
        <v>1444</v>
      </c>
      <c r="D746" s="359" t="s">
        <v>2614</v>
      </c>
      <c r="E746" s="1081">
        <v>1200</v>
      </c>
      <c r="F746" s="1047">
        <v>40846668</v>
      </c>
      <c r="G746" s="1107" t="s">
        <v>2675</v>
      </c>
      <c r="H746" s="1078" t="s">
        <v>904</v>
      </c>
      <c r="I746" s="1102" t="s">
        <v>2338</v>
      </c>
      <c r="J746" s="1078" t="s">
        <v>904</v>
      </c>
      <c r="K746" s="683"/>
      <c r="L746" s="1105">
        <v>0</v>
      </c>
      <c r="M746" s="1088">
        <f t="shared" si="22"/>
        <v>0</v>
      </c>
      <c r="N746" s="359"/>
      <c r="O746" s="1078">
        <v>6</v>
      </c>
      <c r="P746" s="1089">
        <f t="shared" si="23"/>
        <v>7200</v>
      </c>
    </row>
    <row r="747" spans="1:16" ht="15.75" thickBot="1" x14ac:dyDescent="0.25">
      <c r="A747" s="1097" t="s">
        <v>2333</v>
      </c>
      <c r="B747" s="1098" t="s">
        <v>2334</v>
      </c>
      <c r="C747" s="1099" t="s">
        <v>1444</v>
      </c>
      <c r="D747" s="359" t="s">
        <v>2442</v>
      </c>
      <c r="E747" s="1081">
        <v>1700</v>
      </c>
      <c r="F747" s="1047">
        <v>76803358</v>
      </c>
      <c r="G747" s="1107" t="s">
        <v>2676</v>
      </c>
      <c r="H747" s="1078" t="s">
        <v>2565</v>
      </c>
      <c r="I747" s="1102" t="s">
        <v>2338</v>
      </c>
      <c r="J747" s="1078" t="s">
        <v>2565</v>
      </c>
      <c r="K747" s="683"/>
      <c r="L747" s="1105">
        <v>0</v>
      </c>
      <c r="M747" s="1106">
        <f t="shared" si="22"/>
        <v>0</v>
      </c>
      <c r="N747" s="359"/>
      <c r="O747" s="1078">
        <v>6</v>
      </c>
      <c r="P747" s="1089">
        <f t="shared" si="23"/>
        <v>10200</v>
      </c>
    </row>
    <row r="748" spans="1:16" ht="15.75" thickBot="1" x14ac:dyDescent="0.25">
      <c r="A748" s="1097" t="s">
        <v>2333</v>
      </c>
      <c r="B748" s="1098" t="s">
        <v>2334</v>
      </c>
      <c r="C748" s="1099" t="s">
        <v>1444</v>
      </c>
      <c r="D748" s="359" t="s">
        <v>2415</v>
      </c>
      <c r="E748" s="1081">
        <v>2500</v>
      </c>
      <c r="F748" s="1047">
        <v>72355503</v>
      </c>
      <c r="G748" s="1107" t="s">
        <v>2677</v>
      </c>
      <c r="H748" s="1078" t="s">
        <v>613</v>
      </c>
      <c r="I748" s="1102" t="s">
        <v>2338</v>
      </c>
      <c r="J748" s="1078" t="s">
        <v>613</v>
      </c>
      <c r="K748" s="683"/>
      <c r="L748" s="1105">
        <v>0</v>
      </c>
      <c r="M748" s="1088">
        <f t="shared" si="22"/>
        <v>0</v>
      </c>
      <c r="N748" s="359"/>
      <c r="O748" s="1078">
        <v>6</v>
      </c>
      <c r="P748" s="1089">
        <f t="shared" si="23"/>
        <v>15000</v>
      </c>
    </row>
    <row r="749" spans="1:16" ht="15.75" thickBot="1" x14ac:dyDescent="0.25">
      <c r="A749" s="1097" t="s">
        <v>2333</v>
      </c>
      <c r="B749" s="1098" t="s">
        <v>2334</v>
      </c>
      <c r="C749" s="1099" t="s">
        <v>1444</v>
      </c>
      <c r="D749" s="359" t="s">
        <v>561</v>
      </c>
      <c r="E749" s="1081">
        <v>3000</v>
      </c>
      <c r="F749" s="1047">
        <v>71776196</v>
      </c>
      <c r="G749" s="1107" t="s">
        <v>2678</v>
      </c>
      <c r="H749" s="1078" t="s">
        <v>2576</v>
      </c>
      <c r="I749" s="1102" t="s">
        <v>2338</v>
      </c>
      <c r="J749" s="1078" t="s">
        <v>2576</v>
      </c>
      <c r="K749" s="683"/>
      <c r="L749" s="1105">
        <v>0</v>
      </c>
      <c r="M749" s="1088">
        <f t="shared" si="22"/>
        <v>0</v>
      </c>
      <c r="N749" s="359"/>
      <c r="O749" s="1078">
        <v>6</v>
      </c>
      <c r="P749" s="1089">
        <f t="shared" si="23"/>
        <v>18000</v>
      </c>
    </row>
    <row r="750" spans="1:16" ht="15.75" thickBot="1" x14ac:dyDescent="0.25">
      <c r="A750" s="1097" t="s">
        <v>2333</v>
      </c>
      <c r="B750" s="1098" t="s">
        <v>2334</v>
      </c>
      <c r="C750" s="1099" t="s">
        <v>1444</v>
      </c>
      <c r="D750" s="359" t="s">
        <v>2360</v>
      </c>
      <c r="E750" s="1081">
        <v>1700</v>
      </c>
      <c r="F750" s="1047">
        <v>9506076</v>
      </c>
      <c r="G750" s="1107" t="s">
        <v>2679</v>
      </c>
      <c r="H750" s="1078" t="s">
        <v>2565</v>
      </c>
      <c r="I750" s="1102" t="s">
        <v>2338</v>
      </c>
      <c r="J750" s="1078" t="s">
        <v>2565</v>
      </c>
      <c r="K750" s="683"/>
      <c r="L750" s="1105">
        <v>0</v>
      </c>
      <c r="M750" s="1106">
        <f t="shared" si="22"/>
        <v>0</v>
      </c>
      <c r="N750" s="359"/>
      <c r="O750" s="1078">
        <v>6</v>
      </c>
      <c r="P750" s="1089">
        <f t="shared" si="23"/>
        <v>10200</v>
      </c>
    </row>
    <row r="751" spans="1:16" ht="15.75" thickBot="1" x14ac:dyDescent="0.25">
      <c r="A751" s="1097" t="s">
        <v>2333</v>
      </c>
      <c r="B751" s="1098" t="s">
        <v>2334</v>
      </c>
      <c r="C751" s="1099" t="s">
        <v>1444</v>
      </c>
      <c r="D751" s="359" t="s">
        <v>2442</v>
      </c>
      <c r="E751" s="1081">
        <v>1500</v>
      </c>
      <c r="F751" s="1047">
        <v>46600539</v>
      </c>
      <c r="G751" s="1107" t="s">
        <v>2680</v>
      </c>
      <c r="H751" s="1078" t="s">
        <v>2593</v>
      </c>
      <c r="I751" s="1102" t="s">
        <v>2338</v>
      </c>
      <c r="J751" s="1078" t="s">
        <v>2593</v>
      </c>
      <c r="K751" s="683"/>
      <c r="L751" s="1105">
        <v>0</v>
      </c>
      <c r="M751" s="1088">
        <f t="shared" si="22"/>
        <v>0</v>
      </c>
      <c r="N751" s="359"/>
      <c r="O751" s="1078">
        <v>6</v>
      </c>
      <c r="P751" s="1089">
        <f t="shared" si="23"/>
        <v>9000</v>
      </c>
    </row>
    <row r="752" spans="1:16" ht="15.75" thickBot="1" x14ac:dyDescent="0.25">
      <c r="A752" s="1097" t="s">
        <v>2333</v>
      </c>
      <c r="B752" s="1098" t="s">
        <v>2334</v>
      </c>
      <c r="C752" s="1099" t="s">
        <v>1444</v>
      </c>
      <c r="D752" s="359" t="s">
        <v>2625</v>
      </c>
      <c r="E752" s="1081">
        <v>2800</v>
      </c>
      <c r="F752" s="1047">
        <v>46177559</v>
      </c>
      <c r="G752" s="1107" t="s">
        <v>2681</v>
      </c>
      <c r="H752" s="1078" t="s">
        <v>1646</v>
      </c>
      <c r="I752" s="1102" t="s">
        <v>2338</v>
      </c>
      <c r="J752" s="1078" t="s">
        <v>1646</v>
      </c>
      <c r="K752" s="683"/>
      <c r="L752" s="1105">
        <v>0</v>
      </c>
      <c r="M752" s="1088">
        <f t="shared" si="22"/>
        <v>0</v>
      </c>
      <c r="N752" s="359"/>
      <c r="O752" s="1078">
        <v>6</v>
      </c>
      <c r="P752" s="1089">
        <f t="shared" si="23"/>
        <v>16800</v>
      </c>
    </row>
    <row r="753" spans="1:16" ht="15.75" thickBot="1" x14ac:dyDescent="0.25">
      <c r="A753" s="1097" t="s">
        <v>2333</v>
      </c>
      <c r="B753" s="1098" t="s">
        <v>2334</v>
      </c>
      <c r="C753" s="1099" t="s">
        <v>1444</v>
      </c>
      <c r="D753" s="359" t="s">
        <v>2682</v>
      </c>
      <c r="E753" s="1081">
        <v>5200</v>
      </c>
      <c r="F753" s="1047">
        <v>255253</v>
      </c>
      <c r="G753" s="1107" t="s">
        <v>2683</v>
      </c>
      <c r="H753" s="1078" t="s">
        <v>2684</v>
      </c>
      <c r="I753" s="1102" t="s">
        <v>2338</v>
      </c>
      <c r="J753" s="1078" t="s">
        <v>2684</v>
      </c>
      <c r="K753" s="683"/>
      <c r="L753" s="1105">
        <v>0</v>
      </c>
      <c r="M753" s="1106">
        <f t="shared" si="22"/>
        <v>0</v>
      </c>
      <c r="N753" s="359"/>
      <c r="O753" s="1078">
        <v>6</v>
      </c>
      <c r="P753" s="1089">
        <f t="shared" si="23"/>
        <v>31200</v>
      </c>
    </row>
    <row r="754" spans="1:16" ht="15.75" thickBot="1" x14ac:dyDescent="0.25">
      <c r="A754" s="1097" t="s">
        <v>2333</v>
      </c>
      <c r="B754" s="1098" t="s">
        <v>2334</v>
      </c>
      <c r="C754" s="1099" t="s">
        <v>1444</v>
      </c>
      <c r="D754" s="359" t="s">
        <v>2396</v>
      </c>
      <c r="E754" s="1081">
        <v>2800</v>
      </c>
      <c r="F754" s="1047">
        <v>46743288</v>
      </c>
      <c r="G754" s="1107" t="s">
        <v>2685</v>
      </c>
      <c r="H754" s="1078" t="s">
        <v>2337</v>
      </c>
      <c r="I754" s="1102" t="s">
        <v>2338</v>
      </c>
      <c r="J754" s="1078" t="s">
        <v>2337</v>
      </c>
      <c r="K754" s="683"/>
      <c r="L754" s="1105">
        <v>0</v>
      </c>
      <c r="M754" s="1088">
        <f t="shared" si="22"/>
        <v>0</v>
      </c>
      <c r="N754" s="359"/>
      <c r="O754" s="1078">
        <v>6</v>
      </c>
      <c r="P754" s="1089">
        <f t="shared" si="23"/>
        <v>16800</v>
      </c>
    </row>
    <row r="755" spans="1:16" ht="15.75" thickBot="1" x14ac:dyDescent="0.25">
      <c r="A755" s="1097" t="s">
        <v>2333</v>
      </c>
      <c r="B755" s="1098" t="s">
        <v>2334</v>
      </c>
      <c r="C755" s="1099" t="s">
        <v>1444</v>
      </c>
      <c r="D755" s="359" t="s">
        <v>2614</v>
      </c>
      <c r="E755" s="1081">
        <v>1800</v>
      </c>
      <c r="F755" s="1047">
        <v>8692987</v>
      </c>
      <c r="G755" s="1107" t="s">
        <v>2686</v>
      </c>
      <c r="H755" s="1078" t="s">
        <v>2687</v>
      </c>
      <c r="I755" s="1102" t="s">
        <v>2338</v>
      </c>
      <c r="J755" s="1078" t="s">
        <v>2687</v>
      </c>
      <c r="K755" s="683"/>
      <c r="L755" s="1105">
        <v>0</v>
      </c>
      <c r="M755" s="1088">
        <f t="shared" si="22"/>
        <v>0</v>
      </c>
      <c r="N755" s="359"/>
      <c r="O755" s="1078">
        <v>6</v>
      </c>
      <c r="P755" s="1089">
        <f t="shared" si="23"/>
        <v>10800</v>
      </c>
    </row>
    <row r="756" spans="1:16" ht="15.75" thickBot="1" x14ac:dyDescent="0.25">
      <c r="A756" s="1097" t="s">
        <v>2333</v>
      </c>
      <c r="B756" s="1098" t="s">
        <v>2334</v>
      </c>
      <c r="C756" s="1099" t="s">
        <v>1444</v>
      </c>
      <c r="D756" s="359" t="s">
        <v>2625</v>
      </c>
      <c r="E756" s="1081">
        <v>2800</v>
      </c>
      <c r="F756" s="1047">
        <v>43183210</v>
      </c>
      <c r="G756" s="1107" t="s">
        <v>2688</v>
      </c>
      <c r="H756" s="1078" t="s">
        <v>2689</v>
      </c>
      <c r="I756" s="1102" t="s">
        <v>2338</v>
      </c>
      <c r="J756" s="1078" t="s">
        <v>2689</v>
      </c>
      <c r="K756" s="683"/>
      <c r="L756" s="1105">
        <v>0</v>
      </c>
      <c r="M756" s="1106">
        <f t="shared" si="22"/>
        <v>0</v>
      </c>
      <c r="N756" s="359"/>
      <c r="O756" s="1078">
        <v>6</v>
      </c>
      <c r="P756" s="1089">
        <f t="shared" si="23"/>
        <v>16800</v>
      </c>
    </row>
    <row r="757" spans="1:16" ht="15.75" thickBot="1" x14ac:dyDescent="0.25">
      <c r="A757" s="1097" t="s">
        <v>2333</v>
      </c>
      <c r="B757" s="1098" t="s">
        <v>2334</v>
      </c>
      <c r="C757" s="1099" t="s">
        <v>1444</v>
      </c>
      <c r="D757" s="359" t="s">
        <v>2690</v>
      </c>
      <c r="E757" s="1081">
        <v>2800</v>
      </c>
      <c r="F757" s="1047">
        <v>70425548</v>
      </c>
      <c r="G757" s="1107" t="s">
        <v>2691</v>
      </c>
      <c r="H757" s="1078" t="s">
        <v>2337</v>
      </c>
      <c r="I757" s="1102" t="s">
        <v>2338</v>
      </c>
      <c r="J757" s="1078" t="s">
        <v>2337</v>
      </c>
      <c r="K757" s="683"/>
      <c r="L757" s="1105">
        <v>0</v>
      </c>
      <c r="M757" s="1088">
        <f t="shared" si="22"/>
        <v>0</v>
      </c>
      <c r="N757" s="359"/>
      <c r="O757" s="1078">
        <v>6</v>
      </c>
      <c r="P757" s="1089">
        <f t="shared" si="23"/>
        <v>16800</v>
      </c>
    </row>
    <row r="758" spans="1:16" ht="15.75" thickBot="1" x14ac:dyDescent="0.25">
      <c r="A758" s="1097" t="s">
        <v>2333</v>
      </c>
      <c r="B758" s="1098" t="s">
        <v>2334</v>
      </c>
      <c r="C758" s="1099" t="s">
        <v>1444</v>
      </c>
      <c r="D758" s="359" t="s">
        <v>2692</v>
      </c>
      <c r="E758" s="1081">
        <v>5500</v>
      </c>
      <c r="F758" s="1047">
        <v>45581461</v>
      </c>
      <c r="G758" s="1107" t="s">
        <v>2693</v>
      </c>
      <c r="H758" s="1078" t="s">
        <v>2618</v>
      </c>
      <c r="I758" s="1102" t="s">
        <v>2338</v>
      </c>
      <c r="J758" s="1078" t="s">
        <v>2618</v>
      </c>
      <c r="K758" s="683"/>
      <c r="L758" s="1105">
        <v>0</v>
      </c>
      <c r="M758" s="1088">
        <f t="shared" si="22"/>
        <v>0</v>
      </c>
      <c r="N758" s="359"/>
      <c r="O758" s="1078">
        <v>6</v>
      </c>
      <c r="P758" s="1089">
        <f t="shared" si="23"/>
        <v>33000</v>
      </c>
    </row>
    <row r="759" spans="1:16" ht="15.75" thickBot="1" x14ac:dyDescent="0.25">
      <c r="A759" s="1097" t="s">
        <v>2333</v>
      </c>
      <c r="B759" s="1098" t="s">
        <v>2334</v>
      </c>
      <c r="C759" s="1099" t="s">
        <v>1444</v>
      </c>
      <c r="D759" s="359" t="s">
        <v>2360</v>
      </c>
      <c r="E759" s="1081">
        <v>1700</v>
      </c>
      <c r="F759" s="1047">
        <v>74223759</v>
      </c>
      <c r="G759" s="1107" t="s">
        <v>2694</v>
      </c>
      <c r="H759" s="1078" t="s">
        <v>2565</v>
      </c>
      <c r="I759" s="1102" t="s">
        <v>2338</v>
      </c>
      <c r="J759" s="1078" t="s">
        <v>2565</v>
      </c>
      <c r="K759" s="683"/>
      <c r="L759" s="1105">
        <v>0</v>
      </c>
      <c r="M759" s="1106">
        <f t="shared" si="22"/>
        <v>0</v>
      </c>
      <c r="N759" s="359"/>
      <c r="O759" s="1078">
        <v>6</v>
      </c>
      <c r="P759" s="1089">
        <f t="shared" si="23"/>
        <v>10200</v>
      </c>
    </row>
    <row r="760" spans="1:16" ht="15.75" thickBot="1" x14ac:dyDescent="0.25">
      <c r="A760" s="1097" t="s">
        <v>2333</v>
      </c>
      <c r="B760" s="1098" t="s">
        <v>2334</v>
      </c>
      <c r="C760" s="1099" t="s">
        <v>1444</v>
      </c>
      <c r="D760" s="359" t="s">
        <v>2360</v>
      </c>
      <c r="E760" s="1081">
        <v>2300</v>
      </c>
      <c r="F760" s="1047">
        <v>77924225</v>
      </c>
      <c r="G760" s="1107" t="s">
        <v>2695</v>
      </c>
      <c r="H760" s="1078" t="s">
        <v>613</v>
      </c>
      <c r="I760" s="1102" t="s">
        <v>2338</v>
      </c>
      <c r="J760" s="1078" t="s">
        <v>613</v>
      </c>
      <c r="K760" s="683"/>
      <c r="L760" s="1105">
        <v>0</v>
      </c>
      <c r="M760" s="1088">
        <f t="shared" si="22"/>
        <v>0</v>
      </c>
      <c r="N760" s="359"/>
      <c r="O760" s="1078">
        <v>6</v>
      </c>
      <c r="P760" s="1089">
        <f t="shared" si="23"/>
        <v>13800</v>
      </c>
    </row>
    <row r="761" spans="1:16" ht="15.75" thickBot="1" x14ac:dyDescent="0.25">
      <c r="A761" s="1097" t="s">
        <v>2333</v>
      </c>
      <c r="B761" s="1098" t="s">
        <v>2334</v>
      </c>
      <c r="C761" s="1099" t="s">
        <v>1444</v>
      </c>
      <c r="D761" s="359" t="s">
        <v>2549</v>
      </c>
      <c r="E761" s="1081">
        <v>1400</v>
      </c>
      <c r="F761" s="1047">
        <v>25766629</v>
      </c>
      <c r="G761" s="1107" t="s">
        <v>2696</v>
      </c>
      <c r="H761" s="1078" t="s">
        <v>1651</v>
      </c>
      <c r="I761" s="1102" t="s">
        <v>2338</v>
      </c>
      <c r="J761" s="1078" t="s">
        <v>1651</v>
      </c>
      <c r="K761" s="683"/>
      <c r="L761" s="1105">
        <v>0</v>
      </c>
      <c r="M761" s="1088">
        <f t="shared" si="22"/>
        <v>0</v>
      </c>
      <c r="N761" s="359"/>
      <c r="O761" s="1078">
        <v>6</v>
      </c>
      <c r="P761" s="1089">
        <f t="shared" si="23"/>
        <v>8400</v>
      </c>
    </row>
    <row r="762" spans="1:16" ht="15.75" thickBot="1" x14ac:dyDescent="0.25">
      <c r="A762" s="1097" t="s">
        <v>2333</v>
      </c>
      <c r="B762" s="1098" t="s">
        <v>2334</v>
      </c>
      <c r="C762" s="1099" t="s">
        <v>1444</v>
      </c>
      <c r="D762" s="359" t="s">
        <v>2360</v>
      </c>
      <c r="E762" s="1081">
        <v>2500</v>
      </c>
      <c r="F762" s="1047">
        <v>41981500</v>
      </c>
      <c r="G762" s="1107" t="s">
        <v>2697</v>
      </c>
      <c r="H762" s="1078" t="s">
        <v>613</v>
      </c>
      <c r="I762" s="1102" t="s">
        <v>2338</v>
      </c>
      <c r="J762" s="1078" t="s">
        <v>613</v>
      </c>
      <c r="K762" s="683"/>
      <c r="L762" s="1105">
        <v>0</v>
      </c>
      <c r="M762" s="1106">
        <f t="shared" si="22"/>
        <v>0</v>
      </c>
      <c r="N762" s="359"/>
      <c r="O762" s="1078">
        <v>6</v>
      </c>
      <c r="P762" s="1089">
        <f t="shared" si="23"/>
        <v>15000</v>
      </c>
    </row>
    <row r="763" spans="1:16" ht="15.75" thickBot="1" x14ac:dyDescent="0.25">
      <c r="A763" s="1097" t="s">
        <v>2333</v>
      </c>
      <c r="B763" s="1098" t="s">
        <v>2334</v>
      </c>
      <c r="C763" s="1099" t="s">
        <v>1444</v>
      </c>
      <c r="D763" s="359" t="s">
        <v>2505</v>
      </c>
      <c r="E763" s="1081">
        <v>1400</v>
      </c>
      <c r="F763" s="1047">
        <v>75513442</v>
      </c>
      <c r="G763" s="1107" t="s">
        <v>2698</v>
      </c>
      <c r="H763" s="1078" t="s">
        <v>1651</v>
      </c>
      <c r="I763" s="1102" t="s">
        <v>2338</v>
      </c>
      <c r="J763" s="1078" t="s">
        <v>1651</v>
      </c>
      <c r="K763" s="683"/>
      <c r="L763" s="1105">
        <v>0</v>
      </c>
      <c r="M763" s="1088">
        <f t="shared" si="22"/>
        <v>0</v>
      </c>
      <c r="N763" s="359"/>
      <c r="O763" s="1078">
        <v>6</v>
      </c>
      <c r="P763" s="1089">
        <f t="shared" si="23"/>
        <v>8400</v>
      </c>
    </row>
    <row r="764" spans="1:16" ht="15.75" thickBot="1" x14ac:dyDescent="0.25">
      <c r="A764" s="1097" t="s">
        <v>2333</v>
      </c>
      <c r="B764" s="1098" t="s">
        <v>2334</v>
      </c>
      <c r="C764" s="1099" t="s">
        <v>1444</v>
      </c>
      <c r="D764" s="359" t="s">
        <v>2699</v>
      </c>
      <c r="E764" s="1081">
        <v>4000</v>
      </c>
      <c r="F764" s="1047">
        <v>45088703</v>
      </c>
      <c r="G764" s="1107" t="s">
        <v>2700</v>
      </c>
      <c r="H764" s="1078" t="s">
        <v>2618</v>
      </c>
      <c r="I764" s="1102" t="s">
        <v>2338</v>
      </c>
      <c r="J764" s="1078" t="s">
        <v>2618</v>
      </c>
      <c r="K764" s="683"/>
      <c r="L764" s="1105">
        <v>0</v>
      </c>
      <c r="M764" s="1088">
        <f t="shared" si="22"/>
        <v>0</v>
      </c>
      <c r="N764" s="359"/>
      <c r="O764" s="1078">
        <v>6</v>
      </c>
      <c r="P764" s="1089">
        <f t="shared" si="23"/>
        <v>24000</v>
      </c>
    </row>
    <row r="765" spans="1:16" ht="15.75" thickBot="1" x14ac:dyDescent="0.25">
      <c r="A765" s="1097" t="s">
        <v>2333</v>
      </c>
      <c r="B765" s="1098" t="s">
        <v>2334</v>
      </c>
      <c r="C765" s="1099" t="s">
        <v>1444</v>
      </c>
      <c r="D765" s="359" t="s">
        <v>2356</v>
      </c>
      <c r="E765" s="1081">
        <v>5000</v>
      </c>
      <c r="F765" s="1047">
        <v>41941065</v>
      </c>
      <c r="G765" s="1107" t="s">
        <v>2701</v>
      </c>
      <c r="H765" s="1078" t="s">
        <v>2618</v>
      </c>
      <c r="I765" s="1102" t="s">
        <v>2338</v>
      </c>
      <c r="J765" s="1078" t="s">
        <v>2618</v>
      </c>
      <c r="K765" s="683"/>
      <c r="L765" s="1105">
        <v>0</v>
      </c>
      <c r="M765" s="1106">
        <f t="shared" si="22"/>
        <v>0</v>
      </c>
      <c r="N765" s="359"/>
      <c r="O765" s="1078">
        <v>6</v>
      </c>
      <c r="P765" s="1089">
        <f t="shared" si="23"/>
        <v>30000</v>
      </c>
    </row>
    <row r="766" spans="1:16" ht="15.75" thickBot="1" x14ac:dyDescent="0.25">
      <c r="A766" s="1097" t="s">
        <v>2333</v>
      </c>
      <c r="B766" s="1098" t="s">
        <v>2334</v>
      </c>
      <c r="C766" s="1099" t="s">
        <v>1444</v>
      </c>
      <c r="D766" s="359" t="s">
        <v>2360</v>
      </c>
      <c r="E766" s="1081">
        <v>2500</v>
      </c>
      <c r="F766" s="1047">
        <v>46138740</v>
      </c>
      <c r="G766" s="1107" t="s">
        <v>2702</v>
      </c>
      <c r="H766" s="1078" t="s">
        <v>613</v>
      </c>
      <c r="I766" s="1102" t="s">
        <v>2338</v>
      </c>
      <c r="J766" s="1078" t="s">
        <v>613</v>
      </c>
      <c r="K766" s="683"/>
      <c r="L766" s="1105">
        <v>0</v>
      </c>
      <c r="M766" s="1088">
        <f t="shared" si="22"/>
        <v>0</v>
      </c>
      <c r="N766" s="359"/>
      <c r="O766" s="1078">
        <v>6</v>
      </c>
      <c r="P766" s="1089">
        <f t="shared" si="23"/>
        <v>15000</v>
      </c>
    </row>
    <row r="767" spans="1:16" ht="15.75" thickBot="1" x14ac:dyDescent="0.25">
      <c r="A767" s="1097" t="s">
        <v>2333</v>
      </c>
      <c r="B767" s="1098" t="s">
        <v>2334</v>
      </c>
      <c r="C767" s="1099" t="s">
        <v>1444</v>
      </c>
      <c r="D767" s="359" t="s">
        <v>2415</v>
      </c>
      <c r="E767" s="1081">
        <v>1100</v>
      </c>
      <c r="F767" s="1047">
        <v>73874316</v>
      </c>
      <c r="G767" s="1107" t="s">
        <v>2703</v>
      </c>
      <c r="H767" s="1078" t="s">
        <v>904</v>
      </c>
      <c r="I767" s="1102" t="s">
        <v>2338</v>
      </c>
      <c r="J767" s="1078" t="s">
        <v>904</v>
      </c>
      <c r="K767" s="683"/>
      <c r="L767" s="1105">
        <v>0</v>
      </c>
      <c r="M767" s="1088">
        <f t="shared" si="22"/>
        <v>0</v>
      </c>
      <c r="N767" s="359"/>
      <c r="O767" s="1078">
        <v>6</v>
      </c>
      <c r="P767" s="1089">
        <f t="shared" si="23"/>
        <v>6600</v>
      </c>
    </row>
    <row r="768" spans="1:16" ht="15.75" thickBot="1" x14ac:dyDescent="0.25">
      <c r="A768" s="1097" t="s">
        <v>2333</v>
      </c>
      <c r="B768" s="1098" t="s">
        <v>2334</v>
      </c>
      <c r="C768" s="1099" t="s">
        <v>1444</v>
      </c>
      <c r="D768" s="359" t="s">
        <v>2344</v>
      </c>
      <c r="E768" s="1081">
        <v>1500</v>
      </c>
      <c r="F768" s="1047">
        <v>46075091</v>
      </c>
      <c r="G768" s="1107" t="s">
        <v>2704</v>
      </c>
      <c r="H768" s="1078" t="s">
        <v>1716</v>
      </c>
      <c r="I768" s="1102" t="s">
        <v>2338</v>
      </c>
      <c r="J768" s="1078" t="s">
        <v>1716</v>
      </c>
      <c r="K768" s="683"/>
      <c r="L768" s="1105">
        <v>0</v>
      </c>
      <c r="M768" s="1106">
        <f t="shared" si="22"/>
        <v>0</v>
      </c>
      <c r="N768" s="359"/>
      <c r="O768" s="1078">
        <v>6</v>
      </c>
      <c r="P768" s="1089">
        <f t="shared" si="23"/>
        <v>9000</v>
      </c>
    </row>
    <row r="769" spans="1:16" ht="15.75" thickBot="1" x14ac:dyDescent="0.25">
      <c r="A769" s="1097" t="s">
        <v>2333</v>
      </c>
      <c r="B769" s="1098" t="s">
        <v>2334</v>
      </c>
      <c r="C769" s="1099" t="s">
        <v>1444</v>
      </c>
      <c r="D769" s="359" t="s">
        <v>2610</v>
      </c>
      <c r="E769" s="1081">
        <v>5500</v>
      </c>
      <c r="F769" s="1047">
        <v>44436447</v>
      </c>
      <c r="G769" s="1107" t="s">
        <v>2705</v>
      </c>
      <c r="H769" s="1078" t="s">
        <v>2612</v>
      </c>
      <c r="I769" s="1102" t="s">
        <v>2338</v>
      </c>
      <c r="J769" s="1078" t="s">
        <v>2612</v>
      </c>
      <c r="K769" s="683"/>
      <c r="L769" s="1105">
        <v>0</v>
      </c>
      <c r="M769" s="1088">
        <f t="shared" si="22"/>
        <v>0</v>
      </c>
      <c r="N769" s="359"/>
      <c r="O769" s="1078">
        <v>6</v>
      </c>
      <c r="P769" s="1089">
        <f t="shared" si="23"/>
        <v>33000</v>
      </c>
    </row>
    <row r="770" spans="1:16" ht="15.75" thickBot="1" x14ac:dyDescent="0.25">
      <c r="A770" s="1097" t="s">
        <v>2333</v>
      </c>
      <c r="B770" s="1098" t="s">
        <v>2334</v>
      </c>
      <c r="C770" s="1099" t="s">
        <v>1444</v>
      </c>
      <c r="D770" s="359" t="s">
        <v>2505</v>
      </c>
      <c r="E770" s="1081">
        <v>1400</v>
      </c>
      <c r="F770" s="1047">
        <v>25714378</v>
      </c>
      <c r="G770" s="1107" t="s">
        <v>2706</v>
      </c>
      <c r="H770" s="1078" t="s">
        <v>1651</v>
      </c>
      <c r="I770" s="1102" t="s">
        <v>2338</v>
      </c>
      <c r="J770" s="1078" t="s">
        <v>1651</v>
      </c>
      <c r="K770" s="683"/>
      <c r="L770" s="1105">
        <v>0</v>
      </c>
      <c r="M770" s="1088">
        <f t="shared" ref="M770:M833" si="24">L770*E770</f>
        <v>0</v>
      </c>
      <c r="N770" s="359"/>
      <c r="O770" s="1078">
        <v>6</v>
      </c>
      <c r="P770" s="1089">
        <f t="shared" ref="P770:P833" si="25">O770*E770</f>
        <v>8400</v>
      </c>
    </row>
    <row r="771" spans="1:16" ht="15.75" thickBot="1" x14ac:dyDescent="0.25">
      <c r="A771" s="1097" t="s">
        <v>2333</v>
      </c>
      <c r="B771" s="1098" t="s">
        <v>2334</v>
      </c>
      <c r="C771" s="1099" t="s">
        <v>1444</v>
      </c>
      <c r="D771" s="359" t="s">
        <v>2657</v>
      </c>
      <c r="E771" s="1081">
        <v>5500</v>
      </c>
      <c r="F771" s="1047">
        <v>44921769</v>
      </c>
      <c r="G771" s="1107" t="s">
        <v>2707</v>
      </c>
      <c r="H771" s="1078" t="s">
        <v>2618</v>
      </c>
      <c r="I771" s="1102" t="s">
        <v>2338</v>
      </c>
      <c r="J771" s="1078" t="s">
        <v>2618</v>
      </c>
      <c r="K771" s="683"/>
      <c r="L771" s="1105">
        <v>0</v>
      </c>
      <c r="M771" s="1106">
        <f t="shared" si="24"/>
        <v>0</v>
      </c>
      <c r="N771" s="359"/>
      <c r="O771" s="1078">
        <v>6</v>
      </c>
      <c r="P771" s="1089">
        <f t="shared" si="25"/>
        <v>33000</v>
      </c>
    </row>
    <row r="772" spans="1:16" ht="15.75" thickBot="1" x14ac:dyDescent="0.25">
      <c r="A772" s="1097" t="s">
        <v>2333</v>
      </c>
      <c r="B772" s="1098" t="s">
        <v>2334</v>
      </c>
      <c r="C772" s="1099" t="s">
        <v>1444</v>
      </c>
      <c r="D772" s="359" t="s">
        <v>2682</v>
      </c>
      <c r="E772" s="1081">
        <v>2500</v>
      </c>
      <c r="F772" s="1047">
        <v>46754865</v>
      </c>
      <c r="G772" s="1107" t="s">
        <v>2708</v>
      </c>
      <c r="H772" s="1078" t="s">
        <v>613</v>
      </c>
      <c r="I772" s="1102" t="s">
        <v>2338</v>
      </c>
      <c r="J772" s="1078" t="s">
        <v>613</v>
      </c>
      <c r="K772" s="683"/>
      <c r="L772" s="1105">
        <v>0</v>
      </c>
      <c r="M772" s="1088">
        <f t="shared" si="24"/>
        <v>0</v>
      </c>
      <c r="N772" s="359"/>
      <c r="O772" s="1078">
        <v>6</v>
      </c>
      <c r="P772" s="1089">
        <f t="shared" si="25"/>
        <v>15000</v>
      </c>
    </row>
    <row r="773" spans="1:16" ht="15.75" thickBot="1" x14ac:dyDescent="0.25">
      <c r="A773" s="1097" t="s">
        <v>2333</v>
      </c>
      <c r="B773" s="1098" t="s">
        <v>2334</v>
      </c>
      <c r="C773" s="1099" t="s">
        <v>1444</v>
      </c>
      <c r="D773" s="359" t="s">
        <v>2502</v>
      </c>
      <c r="E773" s="1081">
        <v>2000</v>
      </c>
      <c r="F773" s="1047">
        <v>25855143</v>
      </c>
      <c r="G773" s="1107" t="s">
        <v>2709</v>
      </c>
      <c r="H773" s="1078" t="s">
        <v>613</v>
      </c>
      <c r="I773" s="1102" t="s">
        <v>2338</v>
      </c>
      <c r="J773" s="1078" t="s">
        <v>613</v>
      </c>
      <c r="K773" s="683"/>
      <c r="L773" s="1105">
        <v>0</v>
      </c>
      <c r="M773" s="1088">
        <f t="shared" si="24"/>
        <v>0</v>
      </c>
      <c r="N773" s="359"/>
      <c r="O773" s="1078">
        <v>6</v>
      </c>
      <c r="P773" s="1089">
        <f t="shared" si="25"/>
        <v>12000</v>
      </c>
    </row>
    <row r="774" spans="1:16" ht="15.75" thickBot="1" x14ac:dyDescent="0.25">
      <c r="A774" s="1097" t="s">
        <v>2333</v>
      </c>
      <c r="B774" s="1098" t="s">
        <v>2334</v>
      </c>
      <c r="C774" s="1099" t="s">
        <v>1444</v>
      </c>
      <c r="D774" s="359" t="s">
        <v>2344</v>
      </c>
      <c r="E774" s="1081">
        <v>1500</v>
      </c>
      <c r="F774" s="1047">
        <v>44300051</v>
      </c>
      <c r="G774" s="1107" t="s">
        <v>2710</v>
      </c>
      <c r="H774" s="1078" t="s">
        <v>1716</v>
      </c>
      <c r="I774" s="1102" t="s">
        <v>2338</v>
      </c>
      <c r="J774" s="1078" t="s">
        <v>1716</v>
      </c>
      <c r="K774" s="683"/>
      <c r="L774" s="1105">
        <v>0</v>
      </c>
      <c r="M774" s="1106">
        <f t="shared" si="24"/>
        <v>0</v>
      </c>
      <c r="N774" s="359"/>
      <c r="O774" s="1078">
        <v>6</v>
      </c>
      <c r="P774" s="1089">
        <f t="shared" si="25"/>
        <v>9000</v>
      </c>
    </row>
    <row r="775" spans="1:16" ht="15.75" thickBot="1" x14ac:dyDescent="0.25">
      <c r="A775" s="1097" t="s">
        <v>2333</v>
      </c>
      <c r="B775" s="1098" t="s">
        <v>2334</v>
      </c>
      <c r="C775" s="1099" t="s">
        <v>1444</v>
      </c>
      <c r="D775" s="359" t="s">
        <v>2344</v>
      </c>
      <c r="E775" s="1081">
        <v>2800</v>
      </c>
      <c r="F775" s="1047">
        <v>44558482</v>
      </c>
      <c r="G775" s="1107" t="s">
        <v>2711</v>
      </c>
      <c r="H775" s="1078" t="s">
        <v>1758</v>
      </c>
      <c r="I775" s="1102" t="s">
        <v>2338</v>
      </c>
      <c r="J775" s="1078" t="s">
        <v>1758</v>
      </c>
      <c r="K775" s="683"/>
      <c r="L775" s="1105">
        <v>0</v>
      </c>
      <c r="M775" s="1088">
        <f t="shared" si="24"/>
        <v>0</v>
      </c>
      <c r="N775" s="359"/>
      <c r="O775" s="1078">
        <v>6</v>
      </c>
      <c r="P775" s="1089">
        <f t="shared" si="25"/>
        <v>16800</v>
      </c>
    </row>
    <row r="776" spans="1:16" ht="15.75" thickBot="1" x14ac:dyDescent="0.25">
      <c r="A776" s="1097" t="s">
        <v>2333</v>
      </c>
      <c r="B776" s="1098" t="s">
        <v>2334</v>
      </c>
      <c r="C776" s="1099" t="s">
        <v>1444</v>
      </c>
      <c r="D776" s="359" t="s">
        <v>2580</v>
      </c>
      <c r="E776" s="1081">
        <v>1700</v>
      </c>
      <c r="F776" s="1047">
        <v>44493613</v>
      </c>
      <c r="G776" s="1107" t="s">
        <v>2712</v>
      </c>
      <c r="H776" s="1078" t="s">
        <v>2565</v>
      </c>
      <c r="I776" s="1102" t="s">
        <v>2338</v>
      </c>
      <c r="J776" s="1078" t="s">
        <v>2565</v>
      </c>
      <c r="K776" s="683"/>
      <c r="L776" s="1105">
        <v>0</v>
      </c>
      <c r="M776" s="1088">
        <f t="shared" si="24"/>
        <v>0</v>
      </c>
      <c r="N776" s="359"/>
      <c r="O776" s="1078">
        <v>6</v>
      </c>
      <c r="P776" s="1089">
        <f t="shared" si="25"/>
        <v>10200</v>
      </c>
    </row>
    <row r="777" spans="1:16" ht="15.75" thickBot="1" x14ac:dyDescent="0.25">
      <c r="A777" s="1097" t="s">
        <v>2333</v>
      </c>
      <c r="B777" s="1098" t="s">
        <v>2334</v>
      </c>
      <c r="C777" s="1099" t="s">
        <v>1444</v>
      </c>
      <c r="D777" s="359" t="s">
        <v>2533</v>
      </c>
      <c r="E777" s="1081">
        <v>5000</v>
      </c>
      <c r="F777" s="1047">
        <v>44709884</v>
      </c>
      <c r="G777" s="1107" t="s">
        <v>2713</v>
      </c>
      <c r="H777" s="1078" t="s">
        <v>2714</v>
      </c>
      <c r="I777" s="1102" t="s">
        <v>2338</v>
      </c>
      <c r="J777" s="1078" t="s">
        <v>2714</v>
      </c>
      <c r="K777" s="683"/>
      <c r="L777" s="1105">
        <v>0</v>
      </c>
      <c r="M777" s="1106">
        <f t="shared" si="24"/>
        <v>0</v>
      </c>
      <c r="N777" s="359"/>
      <c r="O777" s="1078">
        <v>6</v>
      </c>
      <c r="P777" s="1089">
        <f t="shared" si="25"/>
        <v>30000</v>
      </c>
    </row>
    <row r="778" spans="1:16" ht="15.75" thickBot="1" x14ac:dyDescent="0.25">
      <c r="A778" s="1097" t="s">
        <v>2333</v>
      </c>
      <c r="B778" s="1098" t="s">
        <v>2334</v>
      </c>
      <c r="C778" s="1099" t="s">
        <v>1444</v>
      </c>
      <c r="D778" s="359" t="s">
        <v>2360</v>
      </c>
      <c r="E778" s="1081">
        <v>1300</v>
      </c>
      <c r="F778" s="1047">
        <v>42407876</v>
      </c>
      <c r="G778" s="1107" t="s">
        <v>2715</v>
      </c>
      <c r="H778" s="1078" t="s">
        <v>904</v>
      </c>
      <c r="I778" s="1102" t="s">
        <v>2338</v>
      </c>
      <c r="J778" s="1078" t="s">
        <v>904</v>
      </c>
      <c r="K778" s="683"/>
      <c r="L778" s="1105">
        <v>0</v>
      </c>
      <c r="M778" s="1088">
        <f t="shared" si="24"/>
        <v>0</v>
      </c>
      <c r="N778" s="359"/>
      <c r="O778" s="1078">
        <v>6</v>
      </c>
      <c r="P778" s="1089">
        <f t="shared" si="25"/>
        <v>7800</v>
      </c>
    </row>
    <row r="779" spans="1:16" ht="15.75" thickBot="1" x14ac:dyDescent="0.25">
      <c r="A779" s="1097" t="s">
        <v>2333</v>
      </c>
      <c r="B779" s="1098" t="s">
        <v>2334</v>
      </c>
      <c r="C779" s="1099" t="s">
        <v>1444</v>
      </c>
      <c r="D779" s="359" t="s">
        <v>2344</v>
      </c>
      <c r="E779" s="1081">
        <v>1500</v>
      </c>
      <c r="F779" s="1047">
        <v>70604058</v>
      </c>
      <c r="G779" s="1107" t="s">
        <v>2716</v>
      </c>
      <c r="H779" s="1078" t="s">
        <v>1716</v>
      </c>
      <c r="I779" s="1102" t="s">
        <v>2338</v>
      </c>
      <c r="J779" s="1078" t="s">
        <v>1716</v>
      </c>
      <c r="K779" s="683"/>
      <c r="L779" s="1105">
        <v>0</v>
      </c>
      <c r="M779" s="1088">
        <f t="shared" si="24"/>
        <v>0</v>
      </c>
      <c r="N779" s="359"/>
      <c r="O779" s="1078">
        <v>6</v>
      </c>
      <c r="P779" s="1089">
        <f t="shared" si="25"/>
        <v>9000</v>
      </c>
    </row>
    <row r="780" spans="1:16" ht="15.75" thickBot="1" x14ac:dyDescent="0.25">
      <c r="A780" s="1097" t="s">
        <v>2333</v>
      </c>
      <c r="B780" s="1098" t="s">
        <v>2334</v>
      </c>
      <c r="C780" s="1099" t="s">
        <v>1444</v>
      </c>
      <c r="D780" s="359" t="s">
        <v>2682</v>
      </c>
      <c r="E780" s="1081">
        <v>3000</v>
      </c>
      <c r="F780" s="1047">
        <v>70267914</v>
      </c>
      <c r="G780" s="1107" t="s">
        <v>2717</v>
      </c>
      <c r="H780" s="1078" t="s">
        <v>2576</v>
      </c>
      <c r="I780" s="1102" t="s">
        <v>2338</v>
      </c>
      <c r="J780" s="1078" t="s">
        <v>2576</v>
      </c>
      <c r="K780" s="683"/>
      <c r="L780" s="1105">
        <v>0</v>
      </c>
      <c r="M780" s="1106">
        <f t="shared" si="24"/>
        <v>0</v>
      </c>
      <c r="N780" s="359"/>
      <c r="O780" s="1078">
        <v>6</v>
      </c>
      <c r="P780" s="1089">
        <f t="shared" si="25"/>
        <v>18000</v>
      </c>
    </row>
    <row r="781" spans="1:16" ht="15.75" thickBot="1" x14ac:dyDescent="0.25">
      <c r="A781" s="1097" t="s">
        <v>2333</v>
      </c>
      <c r="B781" s="1098" t="s">
        <v>2334</v>
      </c>
      <c r="C781" s="1099" t="s">
        <v>1444</v>
      </c>
      <c r="D781" s="359" t="s">
        <v>2625</v>
      </c>
      <c r="E781" s="1081">
        <v>3000</v>
      </c>
      <c r="F781" s="1047">
        <v>41359927</v>
      </c>
      <c r="G781" s="1107" t="s">
        <v>2718</v>
      </c>
      <c r="H781" s="1078" t="s">
        <v>2612</v>
      </c>
      <c r="I781" s="1102" t="s">
        <v>2338</v>
      </c>
      <c r="J781" s="1078" t="s">
        <v>2612</v>
      </c>
      <c r="K781" s="683"/>
      <c r="L781" s="1105">
        <v>0</v>
      </c>
      <c r="M781" s="1088">
        <f t="shared" si="24"/>
        <v>0</v>
      </c>
      <c r="N781" s="359"/>
      <c r="O781" s="1078">
        <v>6</v>
      </c>
      <c r="P781" s="1089">
        <f t="shared" si="25"/>
        <v>18000</v>
      </c>
    </row>
    <row r="782" spans="1:16" ht="15.75" thickBot="1" x14ac:dyDescent="0.25">
      <c r="A782" s="1097" t="s">
        <v>2333</v>
      </c>
      <c r="B782" s="1098" t="s">
        <v>2334</v>
      </c>
      <c r="C782" s="1099" t="s">
        <v>1444</v>
      </c>
      <c r="D782" s="359" t="s">
        <v>2344</v>
      </c>
      <c r="E782" s="1081">
        <v>1200</v>
      </c>
      <c r="F782" s="1047">
        <v>70472781</v>
      </c>
      <c r="G782" s="1107" t="s">
        <v>2719</v>
      </c>
      <c r="H782" s="1078" t="s">
        <v>904</v>
      </c>
      <c r="I782" s="1102" t="s">
        <v>2338</v>
      </c>
      <c r="J782" s="1078" t="s">
        <v>904</v>
      </c>
      <c r="K782" s="683"/>
      <c r="L782" s="1105">
        <v>0</v>
      </c>
      <c r="M782" s="1088">
        <f t="shared" si="24"/>
        <v>0</v>
      </c>
      <c r="N782" s="359"/>
      <c r="O782" s="1078">
        <v>6</v>
      </c>
      <c r="P782" s="1089">
        <f t="shared" si="25"/>
        <v>7200</v>
      </c>
    </row>
    <row r="783" spans="1:16" ht="15.75" thickBot="1" x14ac:dyDescent="0.25">
      <c r="A783" s="1097" t="s">
        <v>2333</v>
      </c>
      <c r="B783" s="1098" t="s">
        <v>2334</v>
      </c>
      <c r="C783" s="1099" t="s">
        <v>1444</v>
      </c>
      <c r="D783" s="359" t="s">
        <v>2549</v>
      </c>
      <c r="E783" s="1081">
        <v>1400</v>
      </c>
      <c r="F783" s="1047">
        <v>47624700</v>
      </c>
      <c r="G783" s="1107" t="s">
        <v>2720</v>
      </c>
      <c r="H783" s="1078" t="s">
        <v>1651</v>
      </c>
      <c r="I783" s="1102" t="s">
        <v>2338</v>
      </c>
      <c r="J783" s="1078" t="s">
        <v>1651</v>
      </c>
      <c r="K783" s="683"/>
      <c r="L783" s="1105">
        <v>0</v>
      </c>
      <c r="M783" s="1106">
        <f t="shared" si="24"/>
        <v>0</v>
      </c>
      <c r="N783" s="359"/>
      <c r="O783" s="1078">
        <v>6</v>
      </c>
      <c r="P783" s="1089">
        <f t="shared" si="25"/>
        <v>8400</v>
      </c>
    </row>
    <row r="784" spans="1:16" ht="15.75" thickBot="1" x14ac:dyDescent="0.25">
      <c r="A784" s="1097" t="s">
        <v>2333</v>
      </c>
      <c r="B784" s="1098" t="s">
        <v>2334</v>
      </c>
      <c r="C784" s="1099" t="s">
        <v>1444</v>
      </c>
      <c r="D784" s="359" t="s">
        <v>2344</v>
      </c>
      <c r="E784" s="1081">
        <v>2800</v>
      </c>
      <c r="F784" s="1047">
        <v>7498137</v>
      </c>
      <c r="G784" s="1107" t="s">
        <v>2721</v>
      </c>
      <c r="H784" s="1078" t="s">
        <v>1758</v>
      </c>
      <c r="I784" s="1102" t="s">
        <v>2338</v>
      </c>
      <c r="J784" s="1078" t="s">
        <v>1758</v>
      </c>
      <c r="K784" s="683"/>
      <c r="L784" s="1105">
        <v>0</v>
      </c>
      <c r="M784" s="1088">
        <f t="shared" si="24"/>
        <v>0</v>
      </c>
      <c r="N784" s="359"/>
      <c r="O784" s="1078">
        <v>6</v>
      </c>
      <c r="P784" s="1089">
        <f t="shared" si="25"/>
        <v>16800</v>
      </c>
    </row>
    <row r="785" spans="1:16" ht="15.75" thickBot="1" x14ac:dyDescent="0.25">
      <c r="A785" s="1097" t="s">
        <v>2333</v>
      </c>
      <c r="B785" s="1098" t="s">
        <v>2334</v>
      </c>
      <c r="C785" s="1099" t="s">
        <v>1444</v>
      </c>
      <c r="D785" s="359" t="s">
        <v>2580</v>
      </c>
      <c r="E785" s="1081">
        <v>1700</v>
      </c>
      <c r="F785" s="1047">
        <v>73414254</v>
      </c>
      <c r="G785" s="1107" t="s">
        <v>2722</v>
      </c>
      <c r="H785" s="1078" t="s">
        <v>2565</v>
      </c>
      <c r="I785" s="1102" t="s">
        <v>2338</v>
      </c>
      <c r="J785" s="1078" t="s">
        <v>2565</v>
      </c>
      <c r="K785" s="683"/>
      <c r="L785" s="1105">
        <v>0</v>
      </c>
      <c r="M785" s="1088">
        <f t="shared" si="24"/>
        <v>0</v>
      </c>
      <c r="N785" s="359"/>
      <c r="O785" s="1078">
        <v>6</v>
      </c>
      <c r="P785" s="1089">
        <f t="shared" si="25"/>
        <v>10200</v>
      </c>
    </row>
    <row r="786" spans="1:16" ht="15.75" thickBot="1" x14ac:dyDescent="0.25">
      <c r="A786" s="1097" t="s">
        <v>2333</v>
      </c>
      <c r="B786" s="1098" t="s">
        <v>2334</v>
      </c>
      <c r="C786" s="1099" t="s">
        <v>1444</v>
      </c>
      <c r="D786" s="359" t="s">
        <v>2396</v>
      </c>
      <c r="E786" s="1081">
        <v>2800</v>
      </c>
      <c r="F786" s="1047">
        <v>45446683</v>
      </c>
      <c r="G786" s="1107" t="s">
        <v>2723</v>
      </c>
      <c r="H786" s="1078" t="s">
        <v>2337</v>
      </c>
      <c r="I786" s="1102" t="s">
        <v>2338</v>
      </c>
      <c r="J786" s="1078" t="s">
        <v>2337</v>
      </c>
      <c r="K786" s="683"/>
      <c r="L786" s="1105">
        <v>0</v>
      </c>
      <c r="M786" s="1106">
        <f t="shared" si="24"/>
        <v>0</v>
      </c>
      <c r="N786" s="359"/>
      <c r="O786" s="1078">
        <v>6</v>
      </c>
      <c r="P786" s="1089">
        <f t="shared" si="25"/>
        <v>16800</v>
      </c>
    </row>
    <row r="787" spans="1:16" ht="15.75" thickBot="1" x14ac:dyDescent="0.25">
      <c r="A787" s="1097" t="s">
        <v>2333</v>
      </c>
      <c r="B787" s="1098" t="s">
        <v>2334</v>
      </c>
      <c r="C787" s="1099" t="s">
        <v>1444</v>
      </c>
      <c r="D787" s="359" t="s">
        <v>2682</v>
      </c>
      <c r="E787" s="1081">
        <v>1700</v>
      </c>
      <c r="F787" s="1047">
        <v>75408519</v>
      </c>
      <c r="G787" s="1107" t="s">
        <v>2724</v>
      </c>
      <c r="H787" s="1078" t="s">
        <v>2598</v>
      </c>
      <c r="I787" s="1102" t="s">
        <v>2338</v>
      </c>
      <c r="J787" s="1078" t="s">
        <v>2598</v>
      </c>
      <c r="K787" s="683"/>
      <c r="L787" s="1105">
        <v>0</v>
      </c>
      <c r="M787" s="1088">
        <f t="shared" si="24"/>
        <v>0</v>
      </c>
      <c r="N787" s="359"/>
      <c r="O787" s="1078">
        <v>6</v>
      </c>
      <c r="P787" s="1089">
        <f t="shared" si="25"/>
        <v>10200</v>
      </c>
    </row>
    <row r="788" spans="1:16" ht="15.75" thickBot="1" x14ac:dyDescent="0.25">
      <c r="A788" s="1097" t="s">
        <v>2333</v>
      </c>
      <c r="B788" s="1098" t="s">
        <v>2334</v>
      </c>
      <c r="C788" s="1099" t="s">
        <v>1444</v>
      </c>
      <c r="D788" s="359" t="s">
        <v>2356</v>
      </c>
      <c r="E788" s="1081">
        <v>1700</v>
      </c>
      <c r="F788" s="1047">
        <v>25755896</v>
      </c>
      <c r="G788" s="1107" t="s">
        <v>2725</v>
      </c>
      <c r="H788" s="1078" t="s">
        <v>2565</v>
      </c>
      <c r="I788" s="1102" t="s">
        <v>2338</v>
      </c>
      <c r="J788" s="1078" t="s">
        <v>2565</v>
      </c>
      <c r="K788" s="683"/>
      <c r="L788" s="1105">
        <v>0</v>
      </c>
      <c r="M788" s="1088">
        <f t="shared" si="24"/>
        <v>0</v>
      </c>
      <c r="N788" s="359"/>
      <c r="O788" s="1078">
        <v>6</v>
      </c>
      <c r="P788" s="1089">
        <f t="shared" si="25"/>
        <v>10200</v>
      </c>
    </row>
    <row r="789" spans="1:16" ht="15.75" thickBot="1" x14ac:dyDescent="0.25">
      <c r="A789" s="1097" t="s">
        <v>2333</v>
      </c>
      <c r="B789" s="1098" t="s">
        <v>2334</v>
      </c>
      <c r="C789" s="1099" t="s">
        <v>1444</v>
      </c>
      <c r="D789" s="359" t="s">
        <v>2360</v>
      </c>
      <c r="E789" s="1081">
        <v>2500</v>
      </c>
      <c r="F789" s="1047">
        <v>74693886</v>
      </c>
      <c r="G789" s="1107" t="s">
        <v>2726</v>
      </c>
      <c r="H789" s="1078" t="s">
        <v>613</v>
      </c>
      <c r="I789" s="1102" t="s">
        <v>2338</v>
      </c>
      <c r="J789" s="1078" t="s">
        <v>613</v>
      </c>
      <c r="K789" s="683"/>
      <c r="L789" s="1105">
        <v>0</v>
      </c>
      <c r="M789" s="1106">
        <f t="shared" si="24"/>
        <v>0</v>
      </c>
      <c r="N789" s="359"/>
      <c r="O789" s="1078">
        <v>6</v>
      </c>
      <c r="P789" s="1089">
        <f t="shared" si="25"/>
        <v>15000</v>
      </c>
    </row>
    <row r="790" spans="1:16" ht="15.75" thickBot="1" x14ac:dyDescent="0.25">
      <c r="A790" s="1097" t="s">
        <v>2333</v>
      </c>
      <c r="B790" s="1098" t="s">
        <v>2334</v>
      </c>
      <c r="C790" s="1099" t="s">
        <v>1444</v>
      </c>
      <c r="D790" s="359" t="s">
        <v>2396</v>
      </c>
      <c r="E790" s="1081">
        <v>2800</v>
      </c>
      <c r="F790" s="1047">
        <v>71140638</v>
      </c>
      <c r="G790" s="1107" t="s">
        <v>2727</v>
      </c>
      <c r="H790" s="1078" t="s">
        <v>2337</v>
      </c>
      <c r="I790" s="1102" t="s">
        <v>2338</v>
      </c>
      <c r="J790" s="1078" t="s">
        <v>2337</v>
      </c>
      <c r="K790" s="683"/>
      <c r="L790" s="1105">
        <v>0</v>
      </c>
      <c r="M790" s="1088">
        <f t="shared" si="24"/>
        <v>0</v>
      </c>
      <c r="N790" s="359"/>
      <c r="O790" s="1078">
        <v>6</v>
      </c>
      <c r="P790" s="1089">
        <f t="shared" si="25"/>
        <v>16800</v>
      </c>
    </row>
    <row r="791" spans="1:16" ht="15.75" thickBot="1" x14ac:dyDescent="0.25">
      <c r="A791" s="1097" t="s">
        <v>2333</v>
      </c>
      <c r="B791" s="1098" t="s">
        <v>2334</v>
      </c>
      <c r="C791" s="1099" t="s">
        <v>1444</v>
      </c>
      <c r="D791" s="359" t="s">
        <v>2699</v>
      </c>
      <c r="E791" s="1081">
        <v>5000</v>
      </c>
      <c r="F791" s="1047">
        <v>40356602</v>
      </c>
      <c r="G791" s="1107" t="s">
        <v>2728</v>
      </c>
      <c r="H791" s="1078" t="s">
        <v>2618</v>
      </c>
      <c r="I791" s="1102" t="s">
        <v>2338</v>
      </c>
      <c r="J791" s="1078" t="s">
        <v>2618</v>
      </c>
      <c r="K791" s="683"/>
      <c r="L791" s="1105">
        <v>0</v>
      </c>
      <c r="M791" s="1088">
        <f t="shared" si="24"/>
        <v>0</v>
      </c>
      <c r="N791" s="359"/>
      <c r="O791" s="1078">
        <v>6</v>
      </c>
      <c r="P791" s="1089">
        <f t="shared" si="25"/>
        <v>30000</v>
      </c>
    </row>
    <row r="792" spans="1:16" ht="15.75" thickBot="1" x14ac:dyDescent="0.25">
      <c r="A792" s="1097" t="s">
        <v>2333</v>
      </c>
      <c r="B792" s="1098" t="s">
        <v>2334</v>
      </c>
      <c r="C792" s="1099" t="s">
        <v>1444</v>
      </c>
      <c r="D792" s="359" t="s">
        <v>2690</v>
      </c>
      <c r="E792" s="1081">
        <v>1400</v>
      </c>
      <c r="F792" s="1047">
        <v>41105400</v>
      </c>
      <c r="G792" s="1107" t="s">
        <v>2729</v>
      </c>
      <c r="H792" s="1078" t="s">
        <v>1651</v>
      </c>
      <c r="I792" s="1102" t="s">
        <v>2338</v>
      </c>
      <c r="J792" s="1078" t="s">
        <v>1651</v>
      </c>
      <c r="K792" s="683"/>
      <c r="L792" s="1105">
        <v>0</v>
      </c>
      <c r="M792" s="1106">
        <f t="shared" si="24"/>
        <v>0</v>
      </c>
      <c r="N792" s="359"/>
      <c r="O792" s="1078">
        <v>6</v>
      </c>
      <c r="P792" s="1089">
        <f t="shared" si="25"/>
        <v>8400</v>
      </c>
    </row>
    <row r="793" spans="1:16" ht="15.75" thickBot="1" x14ac:dyDescent="0.25">
      <c r="A793" s="1097" t="s">
        <v>2333</v>
      </c>
      <c r="B793" s="1098" t="s">
        <v>2334</v>
      </c>
      <c r="C793" s="1099" t="s">
        <v>1444</v>
      </c>
      <c r="D793" s="359" t="s">
        <v>2621</v>
      </c>
      <c r="E793" s="1081">
        <v>2800</v>
      </c>
      <c r="F793" s="1047">
        <v>46957952</v>
      </c>
      <c r="G793" s="1107" t="s">
        <v>2730</v>
      </c>
      <c r="H793" s="1078" t="s">
        <v>2337</v>
      </c>
      <c r="I793" s="1102" t="s">
        <v>2338</v>
      </c>
      <c r="J793" s="1078" t="s">
        <v>2337</v>
      </c>
      <c r="K793" s="683"/>
      <c r="L793" s="1105">
        <v>0</v>
      </c>
      <c r="M793" s="1088">
        <f t="shared" si="24"/>
        <v>0</v>
      </c>
      <c r="N793" s="359"/>
      <c r="O793" s="1078">
        <v>6</v>
      </c>
      <c r="P793" s="1089">
        <f t="shared" si="25"/>
        <v>16800</v>
      </c>
    </row>
    <row r="794" spans="1:16" ht="15.75" thickBot="1" x14ac:dyDescent="0.25">
      <c r="A794" s="1097" t="s">
        <v>2333</v>
      </c>
      <c r="B794" s="1098" t="s">
        <v>2334</v>
      </c>
      <c r="C794" s="1099" t="s">
        <v>1444</v>
      </c>
      <c r="D794" s="359" t="s">
        <v>2602</v>
      </c>
      <c r="E794" s="1081">
        <v>2800</v>
      </c>
      <c r="F794" s="1047">
        <v>42423305</v>
      </c>
      <c r="G794" s="1107" t="s">
        <v>2731</v>
      </c>
      <c r="H794" s="1078" t="s">
        <v>2376</v>
      </c>
      <c r="I794" s="1102" t="s">
        <v>2338</v>
      </c>
      <c r="J794" s="1078" t="s">
        <v>2376</v>
      </c>
      <c r="K794" s="683"/>
      <c r="L794" s="1105">
        <v>0</v>
      </c>
      <c r="M794" s="1088">
        <f t="shared" si="24"/>
        <v>0</v>
      </c>
      <c r="N794" s="359"/>
      <c r="O794" s="1078">
        <v>6</v>
      </c>
      <c r="P794" s="1089">
        <f t="shared" si="25"/>
        <v>16800</v>
      </c>
    </row>
    <row r="795" spans="1:16" ht="15.75" thickBot="1" x14ac:dyDescent="0.25">
      <c r="A795" s="1097" t="s">
        <v>2333</v>
      </c>
      <c r="B795" s="1098" t="s">
        <v>2334</v>
      </c>
      <c r="C795" s="1099" t="s">
        <v>1444</v>
      </c>
      <c r="D795" s="359" t="s">
        <v>2602</v>
      </c>
      <c r="E795" s="1081">
        <v>5500</v>
      </c>
      <c r="F795" s="1047">
        <v>43845426</v>
      </c>
      <c r="G795" s="1107" t="s">
        <v>2732</v>
      </c>
      <c r="H795" s="1078" t="s">
        <v>2618</v>
      </c>
      <c r="I795" s="1102" t="s">
        <v>2338</v>
      </c>
      <c r="J795" s="1078" t="s">
        <v>2618</v>
      </c>
      <c r="K795" s="683"/>
      <c r="L795" s="1105">
        <v>0</v>
      </c>
      <c r="M795" s="1106">
        <f t="shared" si="24"/>
        <v>0</v>
      </c>
      <c r="N795" s="359"/>
      <c r="O795" s="1078">
        <v>6</v>
      </c>
      <c r="P795" s="1089">
        <f t="shared" si="25"/>
        <v>33000</v>
      </c>
    </row>
    <row r="796" spans="1:16" ht="15.75" thickBot="1" x14ac:dyDescent="0.25">
      <c r="A796" s="1097" t="s">
        <v>2333</v>
      </c>
      <c r="B796" s="1098" t="s">
        <v>2334</v>
      </c>
      <c r="C796" s="1099" t="s">
        <v>1444</v>
      </c>
      <c r="D796" s="359" t="s">
        <v>2396</v>
      </c>
      <c r="E796" s="1081">
        <v>2800</v>
      </c>
      <c r="F796" s="1047">
        <v>44536193</v>
      </c>
      <c r="G796" s="1107" t="s">
        <v>2733</v>
      </c>
      <c r="H796" s="1078" t="s">
        <v>2337</v>
      </c>
      <c r="I796" s="1102" t="s">
        <v>2338</v>
      </c>
      <c r="J796" s="1078" t="s">
        <v>2337</v>
      </c>
      <c r="K796" s="683"/>
      <c r="L796" s="1105">
        <v>0</v>
      </c>
      <c r="M796" s="1088">
        <f t="shared" si="24"/>
        <v>0</v>
      </c>
      <c r="N796" s="359"/>
      <c r="O796" s="1078">
        <v>6</v>
      </c>
      <c r="P796" s="1089">
        <f t="shared" si="25"/>
        <v>16800</v>
      </c>
    </row>
    <row r="797" spans="1:16" ht="15.75" thickBot="1" x14ac:dyDescent="0.25">
      <c r="A797" s="1097" t="s">
        <v>2333</v>
      </c>
      <c r="B797" s="1098" t="s">
        <v>2334</v>
      </c>
      <c r="C797" s="1099" t="s">
        <v>1444</v>
      </c>
      <c r="D797" s="359" t="s">
        <v>2356</v>
      </c>
      <c r="E797" s="1081">
        <v>5000</v>
      </c>
      <c r="F797" s="1047">
        <v>42511062</v>
      </c>
      <c r="G797" s="1107" t="s">
        <v>2734</v>
      </c>
      <c r="H797" s="1078" t="s">
        <v>2618</v>
      </c>
      <c r="I797" s="1102" t="s">
        <v>2338</v>
      </c>
      <c r="J797" s="1078" t="s">
        <v>2618</v>
      </c>
      <c r="K797" s="683"/>
      <c r="L797" s="1105">
        <v>0</v>
      </c>
      <c r="M797" s="1088">
        <f t="shared" si="24"/>
        <v>0</v>
      </c>
      <c r="N797" s="359"/>
      <c r="O797" s="1078">
        <v>6</v>
      </c>
      <c r="P797" s="1089">
        <f t="shared" si="25"/>
        <v>30000</v>
      </c>
    </row>
    <row r="798" spans="1:16" ht="15.75" thickBot="1" x14ac:dyDescent="0.25">
      <c r="A798" s="1097" t="s">
        <v>2333</v>
      </c>
      <c r="B798" s="1098" t="s">
        <v>2334</v>
      </c>
      <c r="C798" s="1099" t="s">
        <v>1444</v>
      </c>
      <c r="D798" s="359" t="s">
        <v>2699</v>
      </c>
      <c r="E798" s="1081">
        <v>5000</v>
      </c>
      <c r="F798" s="1047">
        <v>71753012</v>
      </c>
      <c r="G798" s="1107" t="s">
        <v>2735</v>
      </c>
      <c r="H798" s="1078" t="s">
        <v>2618</v>
      </c>
      <c r="I798" s="1102" t="s">
        <v>2338</v>
      </c>
      <c r="J798" s="1078" t="s">
        <v>2618</v>
      </c>
      <c r="K798" s="683"/>
      <c r="L798" s="1105">
        <v>0</v>
      </c>
      <c r="M798" s="1106">
        <f t="shared" si="24"/>
        <v>0</v>
      </c>
      <c r="N798" s="359"/>
      <c r="O798" s="1078">
        <v>6</v>
      </c>
      <c r="P798" s="1089">
        <f t="shared" si="25"/>
        <v>30000</v>
      </c>
    </row>
    <row r="799" spans="1:16" ht="15.75" thickBot="1" x14ac:dyDescent="0.25">
      <c r="A799" s="1097" t="s">
        <v>2333</v>
      </c>
      <c r="B799" s="1098" t="s">
        <v>2334</v>
      </c>
      <c r="C799" s="1099" t="s">
        <v>1444</v>
      </c>
      <c r="D799" s="359" t="s">
        <v>2736</v>
      </c>
      <c r="E799" s="1081">
        <v>5500</v>
      </c>
      <c r="F799" s="1047">
        <v>45907070</v>
      </c>
      <c r="G799" s="1107" t="s">
        <v>2737</v>
      </c>
      <c r="H799" s="1078" t="s">
        <v>2618</v>
      </c>
      <c r="I799" s="1102" t="s">
        <v>2338</v>
      </c>
      <c r="J799" s="1078" t="s">
        <v>2618</v>
      </c>
      <c r="K799" s="683"/>
      <c r="L799" s="1105">
        <v>0</v>
      </c>
      <c r="M799" s="1088">
        <f t="shared" si="24"/>
        <v>0</v>
      </c>
      <c r="N799" s="359"/>
      <c r="O799" s="1078">
        <v>6</v>
      </c>
      <c r="P799" s="1089">
        <f t="shared" si="25"/>
        <v>33000</v>
      </c>
    </row>
    <row r="800" spans="1:16" ht="15.75" thickBot="1" x14ac:dyDescent="0.25">
      <c r="A800" s="1097" t="s">
        <v>2333</v>
      </c>
      <c r="B800" s="1098" t="s">
        <v>2334</v>
      </c>
      <c r="C800" s="1099" t="s">
        <v>1444</v>
      </c>
      <c r="D800" s="359" t="s">
        <v>2396</v>
      </c>
      <c r="E800" s="1081">
        <v>2800</v>
      </c>
      <c r="F800" s="1047">
        <v>41757164</v>
      </c>
      <c r="G800" s="1107" t="s">
        <v>2738</v>
      </c>
      <c r="H800" s="1078" t="s">
        <v>2337</v>
      </c>
      <c r="I800" s="1102" t="s">
        <v>2338</v>
      </c>
      <c r="J800" s="1078" t="s">
        <v>2337</v>
      </c>
      <c r="K800" s="683"/>
      <c r="L800" s="1105">
        <v>0</v>
      </c>
      <c r="M800" s="1088">
        <f t="shared" si="24"/>
        <v>0</v>
      </c>
      <c r="N800" s="359"/>
      <c r="O800" s="1078">
        <v>6</v>
      </c>
      <c r="P800" s="1089">
        <f t="shared" si="25"/>
        <v>16800</v>
      </c>
    </row>
    <row r="801" spans="1:16" ht="15.75" thickBot="1" x14ac:dyDescent="0.25">
      <c r="A801" s="1097" t="s">
        <v>2333</v>
      </c>
      <c r="B801" s="1098" t="s">
        <v>2334</v>
      </c>
      <c r="C801" s="1099" t="s">
        <v>1444</v>
      </c>
      <c r="D801" s="359" t="s">
        <v>2396</v>
      </c>
      <c r="E801" s="1081">
        <v>2800</v>
      </c>
      <c r="F801" s="1047">
        <v>71535718</v>
      </c>
      <c r="G801" s="1107" t="s">
        <v>2739</v>
      </c>
      <c r="H801" s="1078" t="s">
        <v>2337</v>
      </c>
      <c r="I801" s="1102" t="s">
        <v>2338</v>
      </c>
      <c r="J801" s="1078" t="s">
        <v>2337</v>
      </c>
      <c r="K801" s="683"/>
      <c r="L801" s="1105">
        <v>0</v>
      </c>
      <c r="M801" s="1106">
        <f t="shared" si="24"/>
        <v>0</v>
      </c>
      <c r="N801" s="359"/>
      <c r="O801" s="1078">
        <v>6</v>
      </c>
      <c r="P801" s="1089">
        <f t="shared" si="25"/>
        <v>16800</v>
      </c>
    </row>
    <row r="802" spans="1:16" ht="15.75" thickBot="1" x14ac:dyDescent="0.25">
      <c r="A802" s="1097" t="s">
        <v>2333</v>
      </c>
      <c r="B802" s="1098" t="s">
        <v>2334</v>
      </c>
      <c r="C802" s="1099" t="s">
        <v>1444</v>
      </c>
      <c r="D802" s="359" t="s">
        <v>2602</v>
      </c>
      <c r="E802" s="1081">
        <v>2800</v>
      </c>
      <c r="F802" s="1047">
        <v>25775018</v>
      </c>
      <c r="G802" s="1107" t="s">
        <v>2740</v>
      </c>
      <c r="H802" s="1078" t="s">
        <v>2376</v>
      </c>
      <c r="I802" s="1102" t="s">
        <v>2338</v>
      </c>
      <c r="J802" s="1078" t="s">
        <v>2376</v>
      </c>
      <c r="K802" s="683"/>
      <c r="L802" s="1105">
        <v>0</v>
      </c>
      <c r="M802" s="1088">
        <f t="shared" si="24"/>
        <v>0</v>
      </c>
      <c r="N802" s="359"/>
      <c r="O802" s="1078">
        <v>6</v>
      </c>
      <c r="P802" s="1089">
        <f t="shared" si="25"/>
        <v>16800</v>
      </c>
    </row>
    <row r="803" spans="1:16" ht="15.75" thickBot="1" x14ac:dyDescent="0.25">
      <c r="A803" s="1097" t="s">
        <v>2333</v>
      </c>
      <c r="B803" s="1098" t="s">
        <v>2334</v>
      </c>
      <c r="C803" s="1099" t="s">
        <v>1444</v>
      </c>
      <c r="D803" s="359" t="s">
        <v>2741</v>
      </c>
      <c r="E803" s="1081">
        <v>5500</v>
      </c>
      <c r="F803" s="1047">
        <v>8443185</v>
      </c>
      <c r="G803" s="1107" t="s">
        <v>2742</v>
      </c>
      <c r="H803" s="1078" t="s">
        <v>2743</v>
      </c>
      <c r="I803" s="1102" t="s">
        <v>2338</v>
      </c>
      <c r="J803" s="1078" t="s">
        <v>2743</v>
      </c>
      <c r="K803" s="683"/>
      <c r="L803" s="1105">
        <v>0</v>
      </c>
      <c r="M803" s="1088">
        <f t="shared" si="24"/>
        <v>0</v>
      </c>
      <c r="N803" s="359"/>
      <c r="O803" s="1078">
        <v>6</v>
      </c>
      <c r="P803" s="1089">
        <f t="shared" si="25"/>
        <v>33000</v>
      </c>
    </row>
    <row r="804" spans="1:16" ht="15.75" thickBot="1" x14ac:dyDescent="0.25">
      <c r="A804" s="1097" t="s">
        <v>2333</v>
      </c>
      <c r="B804" s="1098" t="s">
        <v>2334</v>
      </c>
      <c r="C804" s="1099" t="s">
        <v>1444</v>
      </c>
      <c r="D804" s="359" t="s">
        <v>2690</v>
      </c>
      <c r="E804" s="1081">
        <v>1400</v>
      </c>
      <c r="F804" s="1047">
        <v>43572086</v>
      </c>
      <c r="G804" s="1107" t="s">
        <v>2744</v>
      </c>
      <c r="H804" s="1078" t="s">
        <v>1651</v>
      </c>
      <c r="I804" s="1102" t="s">
        <v>2338</v>
      </c>
      <c r="J804" s="1078" t="s">
        <v>1651</v>
      </c>
      <c r="K804" s="683"/>
      <c r="L804" s="1105">
        <v>0</v>
      </c>
      <c r="M804" s="1106">
        <f t="shared" si="24"/>
        <v>0</v>
      </c>
      <c r="N804" s="359"/>
      <c r="O804" s="1078">
        <v>6</v>
      </c>
      <c r="P804" s="1089">
        <f t="shared" si="25"/>
        <v>8400</v>
      </c>
    </row>
    <row r="805" spans="1:16" ht="15.75" thickBot="1" x14ac:dyDescent="0.25">
      <c r="A805" s="1097" t="s">
        <v>2333</v>
      </c>
      <c r="B805" s="1098" t="s">
        <v>2334</v>
      </c>
      <c r="C805" s="1099" t="s">
        <v>1444</v>
      </c>
      <c r="D805" s="359" t="s">
        <v>2741</v>
      </c>
      <c r="E805" s="1081">
        <v>4700</v>
      </c>
      <c r="F805" s="1047">
        <v>21547728</v>
      </c>
      <c r="G805" s="1107" t="s">
        <v>2745</v>
      </c>
      <c r="H805" s="1078" t="s">
        <v>2746</v>
      </c>
      <c r="I805" s="1102" t="s">
        <v>2338</v>
      </c>
      <c r="J805" s="1078" t="s">
        <v>2746</v>
      </c>
      <c r="K805" s="683"/>
      <c r="L805" s="1105">
        <v>0</v>
      </c>
      <c r="M805" s="1088">
        <f t="shared" si="24"/>
        <v>0</v>
      </c>
      <c r="N805" s="359"/>
      <c r="O805" s="1078">
        <v>6</v>
      </c>
      <c r="P805" s="1089">
        <f t="shared" si="25"/>
        <v>28200</v>
      </c>
    </row>
    <row r="806" spans="1:16" ht="15.75" thickBot="1" x14ac:dyDescent="0.25">
      <c r="A806" s="1097" t="s">
        <v>2333</v>
      </c>
      <c r="B806" s="1098" t="s">
        <v>2334</v>
      </c>
      <c r="C806" s="1099" t="s">
        <v>1444</v>
      </c>
      <c r="D806" s="359" t="s">
        <v>2690</v>
      </c>
      <c r="E806" s="1081">
        <v>2800</v>
      </c>
      <c r="F806" s="1047">
        <v>47243053</v>
      </c>
      <c r="G806" s="1107" t="s">
        <v>2747</v>
      </c>
      <c r="H806" s="1078" t="s">
        <v>2337</v>
      </c>
      <c r="I806" s="1102" t="s">
        <v>2338</v>
      </c>
      <c r="J806" s="1078" t="s">
        <v>2337</v>
      </c>
      <c r="K806" s="683"/>
      <c r="L806" s="1105">
        <v>0</v>
      </c>
      <c r="M806" s="1088">
        <f t="shared" si="24"/>
        <v>0</v>
      </c>
      <c r="N806" s="359"/>
      <c r="O806" s="1078">
        <v>6</v>
      </c>
      <c r="P806" s="1089">
        <f t="shared" si="25"/>
        <v>16800</v>
      </c>
    </row>
    <row r="807" spans="1:16" ht="15.75" thickBot="1" x14ac:dyDescent="0.25">
      <c r="A807" s="1097" t="s">
        <v>2333</v>
      </c>
      <c r="B807" s="1098" t="s">
        <v>2334</v>
      </c>
      <c r="C807" s="1099" t="s">
        <v>1444</v>
      </c>
      <c r="D807" s="359" t="s">
        <v>2549</v>
      </c>
      <c r="E807" s="1081">
        <v>2800</v>
      </c>
      <c r="F807" s="1047">
        <v>45496595</v>
      </c>
      <c r="G807" s="1107" t="s">
        <v>2748</v>
      </c>
      <c r="H807" s="1078" t="s">
        <v>2337</v>
      </c>
      <c r="I807" s="1102" t="s">
        <v>2338</v>
      </c>
      <c r="J807" s="1078" t="s">
        <v>2337</v>
      </c>
      <c r="K807" s="683"/>
      <c r="L807" s="1105">
        <v>0</v>
      </c>
      <c r="M807" s="1106">
        <f t="shared" si="24"/>
        <v>0</v>
      </c>
      <c r="N807" s="359"/>
      <c r="O807" s="1078">
        <v>6</v>
      </c>
      <c r="P807" s="1089">
        <f t="shared" si="25"/>
        <v>16800</v>
      </c>
    </row>
    <row r="808" spans="1:16" ht="15.75" thickBot="1" x14ac:dyDescent="0.25">
      <c r="A808" s="1097" t="s">
        <v>2333</v>
      </c>
      <c r="B808" s="1098" t="s">
        <v>2334</v>
      </c>
      <c r="C808" s="1099" t="s">
        <v>1444</v>
      </c>
      <c r="D808" s="359" t="s">
        <v>2396</v>
      </c>
      <c r="E808" s="1081">
        <v>2800</v>
      </c>
      <c r="F808" s="1047">
        <v>45450075</v>
      </c>
      <c r="G808" s="1107" t="s">
        <v>2749</v>
      </c>
      <c r="H808" s="1078" t="s">
        <v>2337</v>
      </c>
      <c r="I808" s="1102" t="s">
        <v>2338</v>
      </c>
      <c r="J808" s="1078" t="s">
        <v>2337</v>
      </c>
      <c r="K808" s="683"/>
      <c r="L808" s="1105">
        <v>0</v>
      </c>
      <c r="M808" s="1088">
        <f t="shared" si="24"/>
        <v>0</v>
      </c>
      <c r="N808" s="359"/>
      <c r="O808" s="1078">
        <v>6</v>
      </c>
      <c r="P808" s="1089">
        <f t="shared" si="25"/>
        <v>16800</v>
      </c>
    </row>
    <row r="809" spans="1:16" ht="15.75" thickBot="1" x14ac:dyDescent="0.25">
      <c r="A809" s="1097" t="s">
        <v>2333</v>
      </c>
      <c r="B809" s="1098" t="s">
        <v>2334</v>
      </c>
      <c r="C809" s="1099" t="s">
        <v>1444</v>
      </c>
      <c r="D809" s="359" t="s">
        <v>2341</v>
      </c>
      <c r="E809" s="1081">
        <v>5500</v>
      </c>
      <c r="F809" s="1047">
        <v>47578617</v>
      </c>
      <c r="G809" s="1107" t="s">
        <v>2750</v>
      </c>
      <c r="H809" s="1078" t="s">
        <v>2618</v>
      </c>
      <c r="I809" s="1102" t="s">
        <v>2338</v>
      </c>
      <c r="J809" s="1078" t="s">
        <v>2618</v>
      </c>
      <c r="K809" s="683"/>
      <c r="L809" s="1105">
        <v>0</v>
      </c>
      <c r="M809" s="1088">
        <f t="shared" si="24"/>
        <v>0</v>
      </c>
      <c r="N809" s="359"/>
      <c r="O809" s="1078">
        <v>6</v>
      </c>
      <c r="P809" s="1089">
        <f t="shared" si="25"/>
        <v>33000</v>
      </c>
    </row>
    <row r="810" spans="1:16" ht="15.75" thickBot="1" x14ac:dyDescent="0.25">
      <c r="A810" s="1097" t="s">
        <v>2333</v>
      </c>
      <c r="B810" s="1098" t="s">
        <v>2334</v>
      </c>
      <c r="C810" s="1099" t="s">
        <v>1444</v>
      </c>
      <c r="D810" s="359" t="s">
        <v>2751</v>
      </c>
      <c r="E810" s="1081">
        <v>5500</v>
      </c>
      <c r="F810" s="1047">
        <v>46643117</v>
      </c>
      <c r="G810" s="1107" t="s">
        <v>2752</v>
      </c>
      <c r="H810" s="1078" t="s">
        <v>2618</v>
      </c>
      <c r="I810" s="1102" t="s">
        <v>2338</v>
      </c>
      <c r="J810" s="1078" t="s">
        <v>2618</v>
      </c>
      <c r="K810" s="683"/>
      <c r="L810" s="1105">
        <v>0</v>
      </c>
      <c r="M810" s="1106">
        <f t="shared" si="24"/>
        <v>0</v>
      </c>
      <c r="N810" s="359"/>
      <c r="O810" s="1078">
        <v>6</v>
      </c>
      <c r="P810" s="1089">
        <f t="shared" si="25"/>
        <v>33000</v>
      </c>
    </row>
    <row r="811" spans="1:16" ht="15.75" thickBot="1" x14ac:dyDescent="0.25">
      <c r="A811" s="1097" t="s">
        <v>2333</v>
      </c>
      <c r="B811" s="1098" t="s">
        <v>2334</v>
      </c>
      <c r="C811" s="1099" t="s">
        <v>1444</v>
      </c>
      <c r="D811" s="359" t="s">
        <v>2496</v>
      </c>
      <c r="E811" s="1081">
        <v>2800</v>
      </c>
      <c r="F811" s="1047">
        <v>46473300</v>
      </c>
      <c r="G811" s="1107" t="s">
        <v>2753</v>
      </c>
      <c r="H811" s="1078" t="s">
        <v>2337</v>
      </c>
      <c r="I811" s="1102" t="s">
        <v>2338</v>
      </c>
      <c r="J811" s="1078" t="s">
        <v>2337</v>
      </c>
      <c r="K811" s="683"/>
      <c r="L811" s="1105">
        <v>0</v>
      </c>
      <c r="M811" s="1088">
        <f t="shared" si="24"/>
        <v>0</v>
      </c>
      <c r="N811" s="359"/>
      <c r="O811" s="1078">
        <v>6</v>
      </c>
      <c r="P811" s="1089">
        <f t="shared" si="25"/>
        <v>16800</v>
      </c>
    </row>
    <row r="812" spans="1:16" ht="15.75" thickBot="1" x14ac:dyDescent="0.25">
      <c r="A812" s="1097" t="s">
        <v>2333</v>
      </c>
      <c r="B812" s="1098" t="s">
        <v>2334</v>
      </c>
      <c r="C812" s="1099" t="s">
        <v>1444</v>
      </c>
      <c r="D812" s="359" t="s">
        <v>2754</v>
      </c>
      <c r="E812" s="1081">
        <v>2800</v>
      </c>
      <c r="F812" s="1047">
        <v>43778324</v>
      </c>
      <c r="G812" s="1107" t="s">
        <v>2755</v>
      </c>
      <c r="H812" s="1078" t="s">
        <v>2756</v>
      </c>
      <c r="I812" s="1102" t="s">
        <v>2338</v>
      </c>
      <c r="J812" s="1078" t="s">
        <v>2756</v>
      </c>
      <c r="K812" s="683"/>
      <c r="L812" s="1105">
        <v>0</v>
      </c>
      <c r="M812" s="1088">
        <f t="shared" si="24"/>
        <v>0</v>
      </c>
      <c r="N812" s="359"/>
      <c r="O812" s="1078">
        <v>6</v>
      </c>
      <c r="P812" s="1089">
        <f t="shared" si="25"/>
        <v>16800</v>
      </c>
    </row>
    <row r="813" spans="1:16" ht="15.75" thickBot="1" x14ac:dyDescent="0.25">
      <c r="A813" s="1097" t="s">
        <v>2333</v>
      </c>
      <c r="B813" s="1098" t="s">
        <v>2334</v>
      </c>
      <c r="C813" s="1099" t="s">
        <v>1444</v>
      </c>
      <c r="D813" s="359" t="s">
        <v>2360</v>
      </c>
      <c r="E813" s="1081">
        <v>3000</v>
      </c>
      <c r="F813" s="1047">
        <v>43280708</v>
      </c>
      <c r="G813" s="1107" t="s">
        <v>2757</v>
      </c>
      <c r="H813" s="1078" t="s">
        <v>2689</v>
      </c>
      <c r="I813" s="1102" t="s">
        <v>2338</v>
      </c>
      <c r="J813" s="1078" t="s">
        <v>2689</v>
      </c>
      <c r="K813" s="683"/>
      <c r="L813" s="1105">
        <v>0</v>
      </c>
      <c r="M813" s="1106">
        <f t="shared" si="24"/>
        <v>0</v>
      </c>
      <c r="N813" s="359"/>
      <c r="O813" s="1078">
        <v>6</v>
      </c>
      <c r="P813" s="1089">
        <f t="shared" si="25"/>
        <v>18000</v>
      </c>
    </row>
    <row r="814" spans="1:16" ht="15.75" thickBot="1" x14ac:dyDescent="0.25">
      <c r="A814" s="1097" t="s">
        <v>2333</v>
      </c>
      <c r="B814" s="1098" t="s">
        <v>2334</v>
      </c>
      <c r="C814" s="1099" t="s">
        <v>1444</v>
      </c>
      <c r="D814" s="359" t="s">
        <v>2602</v>
      </c>
      <c r="E814" s="1081">
        <v>5000</v>
      </c>
      <c r="F814" s="1047">
        <v>44615825</v>
      </c>
      <c r="G814" s="1107" t="s">
        <v>2758</v>
      </c>
      <c r="H814" s="1078" t="s">
        <v>2618</v>
      </c>
      <c r="I814" s="1102" t="s">
        <v>2338</v>
      </c>
      <c r="J814" s="1078" t="s">
        <v>2618</v>
      </c>
      <c r="K814" s="683"/>
      <c r="L814" s="1105">
        <v>0</v>
      </c>
      <c r="M814" s="1088">
        <f t="shared" si="24"/>
        <v>0</v>
      </c>
      <c r="N814" s="359"/>
      <c r="O814" s="1078">
        <v>6</v>
      </c>
      <c r="P814" s="1089">
        <f t="shared" si="25"/>
        <v>30000</v>
      </c>
    </row>
    <row r="815" spans="1:16" ht="15.75" thickBot="1" x14ac:dyDescent="0.25">
      <c r="A815" s="1097" t="s">
        <v>2333</v>
      </c>
      <c r="B815" s="1098" t="s">
        <v>2334</v>
      </c>
      <c r="C815" s="1099" t="s">
        <v>1444</v>
      </c>
      <c r="D815" s="359" t="s">
        <v>2396</v>
      </c>
      <c r="E815" s="1081">
        <v>1400</v>
      </c>
      <c r="F815" s="1047">
        <v>41331800</v>
      </c>
      <c r="G815" s="1107" t="s">
        <v>2759</v>
      </c>
      <c r="H815" s="1078" t="s">
        <v>1651</v>
      </c>
      <c r="I815" s="1102" t="s">
        <v>2338</v>
      </c>
      <c r="J815" s="1078" t="s">
        <v>1651</v>
      </c>
      <c r="K815" s="683"/>
      <c r="L815" s="1105">
        <v>0</v>
      </c>
      <c r="M815" s="1088">
        <f t="shared" si="24"/>
        <v>0</v>
      </c>
      <c r="N815" s="359"/>
      <c r="O815" s="1078">
        <v>6</v>
      </c>
      <c r="P815" s="1089">
        <f t="shared" si="25"/>
        <v>8400</v>
      </c>
    </row>
    <row r="816" spans="1:16" ht="15.75" thickBot="1" x14ac:dyDescent="0.25">
      <c r="A816" s="1097" t="s">
        <v>2333</v>
      </c>
      <c r="B816" s="1098" t="s">
        <v>2334</v>
      </c>
      <c r="C816" s="1099" t="s">
        <v>1444</v>
      </c>
      <c r="D816" s="359" t="s">
        <v>2760</v>
      </c>
      <c r="E816" s="1081">
        <v>2800</v>
      </c>
      <c r="F816" s="1047">
        <v>43303464</v>
      </c>
      <c r="G816" s="1107" t="s">
        <v>2761</v>
      </c>
      <c r="H816" s="1078" t="s">
        <v>1673</v>
      </c>
      <c r="I816" s="1102" t="s">
        <v>2338</v>
      </c>
      <c r="J816" s="1078" t="s">
        <v>1673</v>
      </c>
      <c r="K816" s="683"/>
      <c r="L816" s="1105">
        <v>0</v>
      </c>
      <c r="M816" s="1106">
        <f t="shared" si="24"/>
        <v>0</v>
      </c>
      <c r="N816" s="359"/>
      <c r="O816" s="1078">
        <v>6</v>
      </c>
      <c r="P816" s="1089">
        <f t="shared" si="25"/>
        <v>16800</v>
      </c>
    </row>
    <row r="817" spans="1:16" ht="15.75" thickBot="1" x14ac:dyDescent="0.25">
      <c r="A817" s="1097" t="s">
        <v>2333</v>
      </c>
      <c r="B817" s="1098" t="s">
        <v>2334</v>
      </c>
      <c r="C817" s="1099" t="s">
        <v>1444</v>
      </c>
      <c r="D817" s="359" t="s">
        <v>2762</v>
      </c>
      <c r="E817" s="1081">
        <v>5000</v>
      </c>
      <c r="F817" s="1047">
        <v>40681843</v>
      </c>
      <c r="G817" s="1107" t="s">
        <v>2763</v>
      </c>
      <c r="H817" s="1078" t="s">
        <v>2618</v>
      </c>
      <c r="I817" s="1102" t="s">
        <v>2338</v>
      </c>
      <c r="J817" s="1078" t="s">
        <v>2618</v>
      </c>
      <c r="K817" s="683"/>
      <c r="L817" s="1105">
        <v>0</v>
      </c>
      <c r="M817" s="1088">
        <f t="shared" si="24"/>
        <v>0</v>
      </c>
      <c r="N817" s="359"/>
      <c r="O817" s="1078">
        <v>6</v>
      </c>
      <c r="P817" s="1089">
        <f t="shared" si="25"/>
        <v>30000</v>
      </c>
    </row>
    <row r="818" spans="1:16" ht="15.75" thickBot="1" x14ac:dyDescent="0.25">
      <c r="A818" s="1097" t="s">
        <v>2333</v>
      </c>
      <c r="B818" s="1098" t="s">
        <v>2334</v>
      </c>
      <c r="C818" s="1099" t="s">
        <v>1444</v>
      </c>
      <c r="D818" s="359" t="s">
        <v>2764</v>
      </c>
      <c r="E818" s="1081">
        <v>2800</v>
      </c>
      <c r="F818" s="1047">
        <v>42412499</v>
      </c>
      <c r="G818" s="1107" t="s">
        <v>2765</v>
      </c>
      <c r="H818" s="1078" t="s">
        <v>1673</v>
      </c>
      <c r="I818" s="1102" t="s">
        <v>2338</v>
      </c>
      <c r="J818" s="1078" t="s">
        <v>1673</v>
      </c>
      <c r="K818" s="683"/>
      <c r="L818" s="1105">
        <v>0</v>
      </c>
      <c r="M818" s="1088">
        <f t="shared" si="24"/>
        <v>0</v>
      </c>
      <c r="N818" s="359"/>
      <c r="O818" s="1078">
        <v>6</v>
      </c>
      <c r="P818" s="1089">
        <f t="shared" si="25"/>
        <v>16800</v>
      </c>
    </row>
    <row r="819" spans="1:16" ht="15.75" thickBot="1" x14ac:dyDescent="0.25">
      <c r="A819" s="1097" t="s">
        <v>2333</v>
      </c>
      <c r="B819" s="1098" t="s">
        <v>2334</v>
      </c>
      <c r="C819" s="1099" t="s">
        <v>1444</v>
      </c>
      <c r="D819" s="359" t="s">
        <v>2690</v>
      </c>
      <c r="E819" s="1081">
        <v>2800</v>
      </c>
      <c r="F819" s="1047">
        <v>70089983</v>
      </c>
      <c r="G819" s="1107" t="s">
        <v>2766</v>
      </c>
      <c r="H819" s="1078" t="s">
        <v>2337</v>
      </c>
      <c r="I819" s="1102" t="s">
        <v>2338</v>
      </c>
      <c r="J819" s="1078" t="s">
        <v>2337</v>
      </c>
      <c r="K819" s="683"/>
      <c r="L819" s="1105">
        <v>0</v>
      </c>
      <c r="M819" s="1106">
        <f t="shared" si="24"/>
        <v>0</v>
      </c>
      <c r="N819" s="359"/>
      <c r="O819" s="1078">
        <v>6</v>
      </c>
      <c r="P819" s="1089">
        <f t="shared" si="25"/>
        <v>16800</v>
      </c>
    </row>
    <row r="820" spans="1:16" ht="15.75" thickBot="1" x14ac:dyDescent="0.25">
      <c r="A820" s="1097" t="s">
        <v>2333</v>
      </c>
      <c r="B820" s="1098" t="s">
        <v>2334</v>
      </c>
      <c r="C820" s="1099" t="s">
        <v>1444</v>
      </c>
      <c r="D820" s="359" t="s">
        <v>2505</v>
      </c>
      <c r="E820" s="1081">
        <v>1400</v>
      </c>
      <c r="F820" s="1047">
        <v>46524263</v>
      </c>
      <c r="G820" s="1107" t="s">
        <v>2767</v>
      </c>
      <c r="H820" s="1078" t="s">
        <v>1651</v>
      </c>
      <c r="I820" s="1102" t="s">
        <v>2338</v>
      </c>
      <c r="J820" s="1078" t="s">
        <v>1651</v>
      </c>
      <c r="K820" s="683"/>
      <c r="L820" s="1105">
        <v>0</v>
      </c>
      <c r="M820" s="1088">
        <f t="shared" si="24"/>
        <v>0</v>
      </c>
      <c r="N820" s="359"/>
      <c r="O820" s="1078">
        <v>6</v>
      </c>
      <c r="P820" s="1089">
        <f t="shared" si="25"/>
        <v>8400</v>
      </c>
    </row>
    <row r="821" spans="1:16" ht="15.75" thickBot="1" x14ac:dyDescent="0.25">
      <c r="A821" s="1097" t="s">
        <v>2333</v>
      </c>
      <c r="B821" s="1098" t="s">
        <v>2334</v>
      </c>
      <c r="C821" s="1099" t="s">
        <v>1444</v>
      </c>
      <c r="D821" s="359" t="s">
        <v>2496</v>
      </c>
      <c r="E821" s="1081">
        <v>2800</v>
      </c>
      <c r="F821" s="1047">
        <v>72226253</v>
      </c>
      <c r="G821" s="1107" t="s">
        <v>2768</v>
      </c>
      <c r="H821" s="1078" t="s">
        <v>2337</v>
      </c>
      <c r="I821" s="1102" t="s">
        <v>2338</v>
      </c>
      <c r="J821" s="1078" t="s">
        <v>2337</v>
      </c>
      <c r="K821" s="683"/>
      <c r="L821" s="1105">
        <v>0</v>
      </c>
      <c r="M821" s="1088">
        <f t="shared" si="24"/>
        <v>0</v>
      </c>
      <c r="N821" s="359"/>
      <c r="O821" s="1078">
        <v>6</v>
      </c>
      <c r="P821" s="1089">
        <f t="shared" si="25"/>
        <v>16800</v>
      </c>
    </row>
    <row r="822" spans="1:16" ht="15.75" thickBot="1" x14ac:dyDescent="0.25">
      <c r="A822" s="1097" t="s">
        <v>2333</v>
      </c>
      <c r="B822" s="1098" t="s">
        <v>2334</v>
      </c>
      <c r="C822" s="1099" t="s">
        <v>1444</v>
      </c>
      <c r="D822" s="359" t="s">
        <v>2769</v>
      </c>
      <c r="E822" s="1081">
        <v>5500</v>
      </c>
      <c r="F822" s="1047">
        <v>70434960</v>
      </c>
      <c r="G822" s="1107" t="s">
        <v>2770</v>
      </c>
      <c r="H822" s="1078" t="s">
        <v>2618</v>
      </c>
      <c r="I822" s="1102" t="s">
        <v>2338</v>
      </c>
      <c r="J822" s="1078" t="s">
        <v>2618</v>
      </c>
      <c r="K822" s="683"/>
      <c r="L822" s="1105">
        <v>0</v>
      </c>
      <c r="M822" s="1106">
        <f t="shared" si="24"/>
        <v>0</v>
      </c>
      <c r="N822" s="359"/>
      <c r="O822" s="1078">
        <v>6</v>
      </c>
      <c r="P822" s="1089">
        <f t="shared" si="25"/>
        <v>33000</v>
      </c>
    </row>
    <row r="823" spans="1:16" ht="15.75" thickBot="1" x14ac:dyDescent="0.25">
      <c r="A823" s="1097" t="s">
        <v>2333</v>
      </c>
      <c r="B823" s="1098" t="s">
        <v>2334</v>
      </c>
      <c r="C823" s="1099" t="s">
        <v>1444</v>
      </c>
      <c r="D823" s="359" t="s">
        <v>2602</v>
      </c>
      <c r="E823" s="1081">
        <v>2800</v>
      </c>
      <c r="F823" s="1047">
        <v>41868243</v>
      </c>
      <c r="G823" s="1107" t="s">
        <v>2771</v>
      </c>
      <c r="H823" s="1078" t="s">
        <v>2376</v>
      </c>
      <c r="I823" s="1102" t="s">
        <v>2338</v>
      </c>
      <c r="J823" s="1078" t="s">
        <v>2376</v>
      </c>
      <c r="K823" s="683"/>
      <c r="L823" s="1105">
        <v>0</v>
      </c>
      <c r="M823" s="1088">
        <f t="shared" si="24"/>
        <v>0</v>
      </c>
      <c r="N823" s="359"/>
      <c r="O823" s="1078">
        <v>6</v>
      </c>
      <c r="P823" s="1089">
        <f t="shared" si="25"/>
        <v>16800</v>
      </c>
    </row>
    <row r="824" spans="1:16" ht="15.75" thickBot="1" x14ac:dyDescent="0.25">
      <c r="A824" s="1097" t="s">
        <v>2333</v>
      </c>
      <c r="B824" s="1098" t="s">
        <v>2334</v>
      </c>
      <c r="C824" s="1099" t="s">
        <v>1444</v>
      </c>
      <c r="D824" s="359" t="s">
        <v>2527</v>
      </c>
      <c r="E824" s="1081">
        <v>2800</v>
      </c>
      <c r="F824" s="1047">
        <v>46480135</v>
      </c>
      <c r="G824" s="1107" t="s">
        <v>2772</v>
      </c>
      <c r="H824" s="1078" t="s">
        <v>2337</v>
      </c>
      <c r="I824" s="1102" t="s">
        <v>2338</v>
      </c>
      <c r="J824" s="1078" t="s">
        <v>2337</v>
      </c>
      <c r="K824" s="683"/>
      <c r="L824" s="1105">
        <v>0</v>
      </c>
      <c r="M824" s="1088">
        <f t="shared" si="24"/>
        <v>0</v>
      </c>
      <c r="N824" s="359"/>
      <c r="O824" s="1078">
        <v>6</v>
      </c>
      <c r="P824" s="1089">
        <f t="shared" si="25"/>
        <v>16800</v>
      </c>
    </row>
    <row r="825" spans="1:16" ht="15.75" thickBot="1" x14ac:dyDescent="0.25">
      <c r="A825" s="1097" t="s">
        <v>2333</v>
      </c>
      <c r="B825" s="1098" t="s">
        <v>2334</v>
      </c>
      <c r="C825" s="1099" t="s">
        <v>1444</v>
      </c>
      <c r="D825" s="359" t="s">
        <v>2690</v>
      </c>
      <c r="E825" s="1081">
        <v>2800</v>
      </c>
      <c r="F825" s="1047">
        <v>73650709</v>
      </c>
      <c r="G825" s="1107" t="s">
        <v>2773</v>
      </c>
      <c r="H825" s="1078" t="s">
        <v>2337</v>
      </c>
      <c r="I825" s="1102" t="s">
        <v>2338</v>
      </c>
      <c r="J825" s="1078" t="s">
        <v>2337</v>
      </c>
      <c r="K825" s="683"/>
      <c r="L825" s="1105">
        <v>0</v>
      </c>
      <c r="M825" s="1106">
        <f t="shared" si="24"/>
        <v>0</v>
      </c>
      <c r="N825" s="359"/>
      <c r="O825" s="1078">
        <v>6</v>
      </c>
      <c r="P825" s="1089">
        <f t="shared" si="25"/>
        <v>16800</v>
      </c>
    </row>
    <row r="826" spans="1:16" ht="15.75" thickBot="1" x14ac:dyDescent="0.25">
      <c r="A826" s="1097" t="s">
        <v>2333</v>
      </c>
      <c r="B826" s="1098" t="s">
        <v>2334</v>
      </c>
      <c r="C826" s="1099" t="s">
        <v>1444</v>
      </c>
      <c r="D826" s="359" t="s">
        <v>2380</v>
      </c>
      <c r="E826" s="1081">
        <v>4000</v>
      </c>
      <c r="F826" s="1047">
        <v>42158533</v>
      </c>
      <c r="G826" s="1107" t="s">
        <v>2774</v>
      </c>
      <c r="H826" s="1078" t="s">
        <v>673</v>
      </c>
      <c r="I826" s="1102" t="s">
        <v>2338</v>
      </c>
      <c r="J826" s="1078" t="s">
        <v>673</v>
      </c>
      <c r="K826" s="683"/>
      <c r="L826" s="1105">
        <v>0</v>
      </c>
      <c r="M826" s="1088">
        <f t="shared" si="24"/>
        <v>0</v>
      </c>
      <c r="N826" s="359"/>
      <c r="O826" s="1078">
        <v>6</v>
      </c>
      <c r="P826" s="1089">
        <f t="shared" si="25"/>
        <v>24000</v>
      </c>
    </row>
    <row r="827" spans="1:16" ht="15.75" thickBot="1" x14ac:dyDescent="0.25">
      <c r="A827" s="1097" t="s">
        <v>2333</v>
      </c>
      <c r="B827" s="1098" t="s">
        <v>2334</v>
      </c>
      <c r="C827" s="1099" t="s">
        <v>1444</v>
      </c>
      <c r="D827" s="359" t="s">
        <v>2498</v>
      </c>
      <c r="E827" s="1081">
        <v>1400</v>
      </c>
      <c r="F827" s="1047">
        <v>43101009</v>
      </c>
      <c r="G827" s="1107" t="s">
        <v>2775</v>
      </c>
      <c r="H827" s="1078" t="s">
        <v>1651</v>
      </c>
      <c r="I827" s="1102" t="s">
        <v>2338</v>
      </c>
      <c r="J827" s="1078" t="s">
        <v>1651</v>
      </c>
      <c r="K827" s="683"/>
      <c r="L827" s="1105">
        <v>0</v>
      </c>
      <c r="M827" s="1088">
        <f t="shared" si="24"/>
        <v>0</v>
      </c>
      <c r="N827" s="359"/>
      <c r="O827" s="1078">
        <v>6</v>
      </c>
      <c r="P827" s="1089">
        <f t="shared" si="25"/>
        <v>8400</v>
      </c>
    </row>
    <row r="828" spans="1:16" ht="15.75" thickBot="1" x14ac:dyDescent="0.25">
      <c r="A828" s="1097" t="s">
        <v>2333</v>
      </c>
      <c r="B828" s="1098" t="s">
        <v>2334</v>
      </c>
      <c r="C828" s="1099" t="s">
        <v>1444</v>
      </c>
      <c r="D828" s="359" t="s">
        <v>2358</v>
      </c>
      <c r="E828" s="1081">
        <v>1400</v>
      </c>
      <c r="F828" s="1047">
        <v>40971587</v>
      </c>
      <c r="G828" s="1107" t="s">
        <v>2776</v>
      </c>
      <c r="H828" s="1078" t="s">
        <v>1656</v>
      </c>
      <c r="I828" s="1102" t="s">
        <v>2338</v>
      </c>
      <c r="J828" s="1078" t="s">
        <v>1656</v>
      </c>
      <c r="K828" s="683"/>
      <c r="L828" s="1105">
        <v>0</v>
      </c>
      <c r="M828" s="1106">
        <f t="shared" si="24"/>
        <v>0</v>
      </c>
      <c r="N828" s="359"/>
      <c r="O828" s="1078">
        <v>6</v>
      </c>
      <c r="P828" s="1089">
        <f t="shared" si="25"/>
        <v>8400</v>
      </c>
    </row>
    <row r="829" spans="1:16" ht="15.75" thickBot="1" x14ac:dyDescent="0.25">
      <c r="A829" s="1097" t="s">
        <v>2333</v>
      </c>
      <c r="B829" s="1098" t="s">
        <v>2334</v>
      </c>
      <c r="C829" s="1099" t="s">
        <v>1444</v>
      </c>
      <c r="D829" s="359" t="s">
        <v>2736</v>
      </c>
      <c r="E829" s="1081">
        <v>5500</v>
      </c>
      <c r="F829" s="1047">
        <v>1343883</v>
      </c>
      <c r="G829" s="1107" t="s">
        <v>2777</v>
      </c>
      <c r="H829" s="1078" t="s">
        <v>2618</v>
      </c>
      <c r="I829" s="1102" t="s">
        <v>2338</v>
      </c>
      <c r="J829" s="1078" t="s">
        <v>2618</v>
      </c>
      <c r="K829" s="683"/>
      <c r="L829" s="1105">
        <v>0</v>
      </c>
      <c r="M829" s="1088">
        <f t="shared" si="24"/>
        <v>0</v>
      </c>
      <c r="N829" s="359"/>
      <c r="O829" s="1078">
        <v>6</v>
      </c>
      <c r="P829" s="1089">
        <f t="shared" si="25"/>
        <v>33000</v>
      </c>
    </row>
    <row r="830" spans="1:16" ht="15.75" thickBot="1" x14ac:dyDescent="0.25">
      <c r="A830" s="1097" t="s">
        <v>2333</v>
      </c>
      <c r="B830" s="1098" t="s">
        <v>2334</v>
      </c>
      <c r="C830" s="1099" t="s">
        <v>1444</v>
      </c>
      <c r="D830" s="359" t="s">
        <v>2396</v>
      </c>
      <c r="E830" s="1081">
        <v>2800</v>
      </c>
      <c r="F830" s="1047">
        <v>45360850</v>
      </c>
      <c r="G830" s="1107" t="s">
        <v>2778</v>
      </c>
      <c r="H830" s="1078" t="s">
        <v>2337</v>
      </c>
      <c r="I830" s="1102" t="s">
        <v>2338</v>
      </c>
      <c r="J830" s="1078" t="s">
        <v>2337</v>
      </c>
      <c r="K830" s="683"/>
      <c r="L830" s="1105">
        <v>0</v>
      </c>
      <c r="M830" s="1088">
        <f t="shared" si="24"/>
        <v>0</v>
      </c>
      <c r="N830" s="359"/>
      <c r="O830" s="1078">
        <v>6</v>
      </c>
      <c r="P830" s="1089">
        <f t="shared" si="25"/>
        <v>16800</v>
      </c>
    </row>
    <row r="831" spans="1:16" ht="15.75" thickBot="1" x14ac:dyDescent="0.25">
      <c r="A831" s="1097" t="s">
        <v>2333</v>
      </c>
      <c r="B831" s="1098" t="s">
        <v>2334</v>
      </c>
      <c r="C831" s="1099" t="s">
        <v>1444</v>
      </c>
      <c r="D831" s="359" t="s">
        <v>2505</v>
      </c>
      <c r="E831" s="1081">
        <v>1400</v>
      </c>
      <c r="F831" s="1047">
        <v>43484071</v>
      </c>
      <c r="G831" s="1107" t="s">
        <v>2779</v>
      </c>
      <c r="H831" s="1078" t="s">
        <v>1651</v>
      </c>
      <c r="I831" s="1102" t="s">
        <v>2338</v>
      </c>
      <c r="J831" s="1078" t="s">
        <v>1651</v>
      </c>
      <c r="K831" s="683"/>
      <c r="L831" s="1105">
        <v>0</v>
      </c>
      <c r="M831" s="1106">
        <f t="shared" si="24"/>
        <v>0</v>
      </c>
      <c r="N831" s="359"/>
      <c r="O831" s="1078">
        <v>6</v>
      </c>
      <c r="P831" s="1089">
        <f t="shared" si="25"/>
        <v>8400</v>
      </c>
    </row>
    <row r="832" spans="1:16" ht="15.75" thickBot="1" x14ac:dyDescent="0.25">
      <c r="A832" s="1097" t="s">
        <v>2333</v>
      </c>
      <c r="B832" s="1098" t="s">
        <v>2334</v>
      </c>
      <c r="C832" s="1099" t="s">
        <v>1444</v>
      </c>
      <c r="D832" s="359" t="s">
        <v>2505</v>
      </c>
      <c r="E832" s="1081">
        <v>1400</v>
      </c>
      <c r="F832" s="1047">
        <v>46247418</v>
      </c>
      <c r="G832" s="1107" t="s">
        <v>2780</v>
      </c>
      <c r="H832" s="1078" t="s">
        <v>1651</v>
      </c>
      <c r="I832" s="1102" t="s">
        <v>2338</v>
      </c>
      <c r="J832" s="1078" t="s">
        <v>1651</v>
      </c>
      <c r="K832" s="683"/>
      <c r="L832" s="1105">
        <v>0</v>
      </c>
      <c r="M832" s="1088">
        <f t="shared" si="24"/>
        <v>0</v>
      </c>
      <c r="N832" s="359"/>
      <c r="O832" s="1078">
        <v>6</v>
      </c>
      <c r="P832" s="1089">
        <f t="shared" si="25"/>
        <v>8400</v>
      </c>
    </row>
    <row r="833" spans="1:16" ht="15.75" thickBot="1" x14ac:dyDescent="0.25">
      <c r="A833" s="1097" t="s">
        <v>2333</v>
      </c>
      <c r="B833" s="1098" t="s">
        <v>2334</v>
      </c>
      <c r="C833" s="1099" t="s">
        <v>1444</v>
      </c>
      <c r="D833" s="359" t="s">
        <v>2396</v>
      </c>
      <c r="E833" s="1081">
        <v>1400</v>
      </c>
      <c r="F833" s="1047">
        <v>42513755</v>
      </c>
      <c r="G833" s="1107" t="s">
        <v>2781</v>
      </c>
      <c r="H833" s="1078" t="s">
        <v>1651</v>
      </c>
      <c r="I833" s="1102" t="s">
        <v>2338</v>
      </c>
      <c r="J833" s="1078" t="s">
        <v>1651</v>
      </c>
      <c r="K833" s="683"/>
      <c r="L833" s="1105">
        <v>0</v>
      </c>
      <c r="M833" s="1088">
        <f t="shared" si="24"/>
        <v>0</v>
      </c>
      <c r="N833" s="359"/>
      <c r="O833" s="1078">
        <v>6</v>
      </c>
      <c r="P833" s="1089">
        <f t="shared" si="25"/>
        <v>8400</v>
      </c>
    </row>
    <row r="834" spans="1:16" ht="15.75" thickBot="1" x14ac:dyDescent="0.25">
      <c r="A834" s="1097" t="s">
        <v>2333</v>
      </c>
      <c r="B834" s="1098" t="s">
        <v>2334</v>
      </c>
      <c r="C834" s="1099" t="s">
        <v>1444</v>
      </c>
      <c r="D834" s="359" t="s">
        <v>2782</v>
      </c>
      <c r="E834" s="1081">
        <v>5500</v>
      </c>
      <c r="F834" s="1047">
        <v>41929419</v>
      </c>
      <c r="G834" s="1107" t="s">
        <v>2783</v>
      </c>
      <c r="H834" s="1078" t="s">
        <v>2618</v>
      </c>
      <c r="I834" s="1102" t="s">
        <v>2338</v>
      </c>
      <c r="J834" s="1078" t="s">
        <v>2618</v>
      </c>
      <c r="K834" s="683"/>
      <c r="L834" s="1105">
        <v>0</v>
      </c>
      <c r="M834" s="1106">
        <f t="shared" ref="M834:M871" si="26">L834*E834</f>
        <v>0</v>
      </c>
      <c r="N834" s="359"/>
      <c r="O834" s="1078">
        <v>6</v>
      </c>
      <c r="P834" s="1089">
        <f t="shared" ref="P834:P871" si="27">O834*E834</f>
        <v>33000</v>
      </c>
    </row>
    <row r="835" spans="1:16" ht="15.75" thickBot="1" x14ac:dyDescent="0.25">
      <c r="A835" s="1097" t="s">
        <v>2333</v>
      </c>
      <c r="B835" s="1098" t="s">
        <v>2334</v>
      </c>
      <c r="C835" s="1099" t="s">
        <v>1444</v>
      </c>
      <c r="D835" s="359" t="s">
        <v>2496</v>
      </c>
      <c r="E835" s="1081">
        <v>2800</v>
      </c>
      <c r="F835" s="1047">
        <v>72882689</v>
      </c>
      <c r="G835" s="1107" t="s">
        <v>2784</v>
      </c>
      <c r="H835" s="1078" t="s">
        <v>2337</v>
      </c>
      <c r="I835" s="1102" t="s">
        <v>2338</v>
      </c>
      <c r="J835" s="1078" t="s">
        <v>2337</v>
      </c>
      <c r="K835" s="683"/>
      <c r="L835" s="1105">
        <v>0</v>
      </c>
      <c r="M835" s="1088">
        <f t="shared" si="26"/>
        <v>0</v>
      </c>
      <c r="N835" s="359"/>
      <c r="O835" s="1078">
        <v>6</v>
      </c>
      <c r="P835" s="1089">
        <f t="shared" si="27"/>
        <v>16800</v>
      </c>
    </row>
    <row r="836" spans="1:16" ht="15.75" thickBot="1" x14ac:dyDescent="0.25">
      <c r="A836" s="1097" t="s">
        <v>2333</v>
      </c>
      <c r="B836" s="1098" t="s">
        <v>2334</v>
      </c>
      <c r="C836" s="1099" t="s">
        <v>1444</v>
      </c>
      <c r="D836" s="359" t="s">
        <v>2396</v>
      </c>
      <c r="E836" s="1081">
        <v>1400</v>
      </c>
      <c r="F836" s="1047">
        <v>48148564</v>
      </c>
      <c r="G836" s="1112" t="s">
        <v>2785</v>
      </c>
      <c r="H836" s="1078" t="s">
        <v>1651</v>
      </c>
      <c r="I836" s="1102" t="s">
        <v>2338</v>
      </c>
      <c r="J836" s="1078" t="s">
        <v>1651</v>
      </c>
      <c r="K836" s="683"/>
      <c r="L836" s="1105">
        <v>0</v>
      </c>
      <c r="M836" s="1088">
        <f t="shared" si="26"/>
        <v>0</v>
      </c>
      <c r="N836" s="359"/>
      <c r="O836" s="1078">
        <v>6</v>
      </c>
      <c r="P836" s="1089">
        <f t="shared" si="27"/>
        <v>8400</v>
      </c>
    </row>
    <row r="837" spans="1:16" ht="12.75" thickBot="1" x14ac:dyDescent="0.25">
      <c r="A837" s="1097" t="s">
        <v>2333</v>
      </c>
      <c r="B837" s="1098" t="s">
        <v>2334</v>
      </c>
      <c r="C837" s="1099" t="s">
        <v>1444</v>
      </c>
      <c r="D837" s="359" t="s">
        <v>2786</v>
      </c>
      <c r="E837" s="1113">
        <v>4000</v>
      </c>
      <c r="F837" s="1047">
        <v>41048416</v>
      </c>
      <c r="G837" s="359" t="s">
        <v>2787</v>
      </c>
      <c r="H837" s="359" t="s">
        <v>2788</v>
      </c>
      <c r="I837" s="1102" t="s">
        <v>2338</v>
      </c>
      <c r="J837" s="359" t="s">
        <v>2788</v>
      </c>
      <c r="K837" s="683"/>
      <c r="L837" s="1105">
        <v>0</v>
      </c>
      <c r="M837" s="1088">
        <f t="shared" si="26"/>
        <v>0</v>
      </c>
      <c r="N837" s="359"/>
      <c r="O837" s="1114">
        <v>3</v>
      </c>
      <c r="P837" s="1115">
        <f t="shared" si="27"/>
        <v>12000</v>
      </c>
    </row>
    <row r="838" spans="1:16" ht="12.75" thickBot="1" x14ac:dyDescent="0.25">
      <c r="A838" s="1097" t="s">
        <v>2333</v>
      </c>
      <c r="B838" s="1098" t="s">
        <v>2334</v>
      </c>
      <c r="C838" s="1099" t="s">
        <v>1444</v>
      </c>
      <c r="D838" s="359" t="s">
        <v>2786</v>
      </c>
      <c r="E838" s="1113">
        <v>11000</v>
      </c>
      <c r="F838" s="1047">
        <v>8549527</v>
      </c>
      <c r="G838" s="359" t="s">
        <v>2789</v>
      </c>
      <c r="H838" s="359" t="s">
        <v>2790</v>
      </c>
      <c r="I838" s="1102" t="s">
        <v>2338</v>
      </c>
      <c r="J838" s="359" t="s">
        <v>2790</v>
      </c>
      <c r="K838" s="683"/>
      <c r="L838" s="1105">
        <v>0</v>
      </c>
      <c r="M838" s="1088">
        <f t="shared" si="26"/>
        <v>0</v>
      </c>
      <c r="N838" s="359"/>
      <c r="O838" s="1114">
        <v>3</v>
      </c>
      <c r="P838" s="1113">
        <f t="shared" si="27"/>
        <v>33000</v>
      </c>
    </row>
    <row r="839" spans="1:16" ht="12.75" thickBot="1" x14ac:dyDescent="0.25">
      <c r="A839" s="1097" t="s">
        <v>2333</v>
      </c>
      <c r="B839" s="1098" t="s">
        <v>2334</v>
      </c>
      <c r="C839" s="1099" t="s">
        <v>1444</v>
      </c>
      <c r="D839" s="359" t="s">
        <v>2786</v>
      </c>
      <c r="E839" s="1113">
        <v>3000</v>
      </c>
      <c r="F839" s="1047">
        <v>75857968</v>
      </c>
      <c r="G839" s="359" t="s">
        <v>2791</v>
      </c>
      <c r="H839" s="359" t="s">
        <v>2792</v>
      </c>
      <c r="I839" s="1102" t="s">
        <v>2338</v>
      </c>
      <c r="J839" s="359" t="s">
        <v>2792</v>
      </c>
      <c r="K839" s="683"/>
      <c r="L839" s="1105">
        <v>0</v>
      </c>
      <c r="M839" s="1088">
        <f t="shared" si="26"/>
        <v>0</v>
      </c>
      <c r="N839" s="359"/>
      <c r="O839" s="1114">
        <v>3</v>
      </c>
      <c r="P839" s="1113">
        <f t="shared" si="27"/>
        <v>9000</v>
      </c>
    </row>
    <row r="840" spans="1:16" ht="12.75" thickBot="1" x14ac:dyDescent="0.25">
      <c r="A840" s="1097" t="s">
        <v>2333</v>
      </c>
      <c r="B840" s="1098" t="s">
        <v>2334</v>
      </c>
      <c r="C840" s="1099" t="s">
        <v>1444</v>
      </c>
      <c r="D840" s="359" t="s">
        <v>2786</v>
      </c>
      <c r="E840" s="1113">
        <v>4000</v>
      </c>
      <c r="F840" s="1047">
        <v>42163945</v>
      </c>
      <c r="G840" s="359" t="s">
        <v>2793</v>
      </c>
      <c r="H840" s="359" t="s">
        <v>2788</v>
      </c>
      <c r="I840" s="1102" t="s">
        <v>2338</v>
      </c>
      <c r="J840" s="359" t="s">
        <v>2788</v>
      </c>
      <c r="K840" s="683"/>
      <c r="L840" s="1105">
        <v>0</v>
      </c>
      <c r="M840" s="1088">
        <f t="shared" si="26"/>
        <v>0</v>
      </c>
      <c r="N840" s="359"/>
      <c r="O840" s="1114">
        <v>3</v>
      </c>
      <c r="P840" s="1113">
        <f t="shared" si="27"/>
        <v>12000</v>
      </c>
    </row>
    <row r="841" spans="1:16" ht="12.75" thickBot="1" x14ac:dyDescent="0.25">
      <c r="A841" s="1097" t="s">
        <v>2333</v>
      </c>
      <c r="B841" s="1098" t="s">
        <v>2334</v>
      </c>
      <c r="C841" s="1099" t="s">
        <v>1444</v>
      </c>
      <c r="D841" s="359" t="s">
        <v>2786</v>
      </c>
      <c r="E841" s="1113">
        <v>4000</v>
      </c>
      <c r="F841" s="1047">
        <v>3828303</v>
      </c>
      <c r="G841" s="359" t="s">
        <v>2794</v>
      </c>
      <c r="H841" s="359" t="s">
        <v>2788</v>
      </c>
      <c r="I841" s="1102" t="s">
        <v>2338</v>
      </c>
      <c r="J841" s="359" t="s">
        <v>2788</v>
      </c>
      <c r="K841" s="683"/>
      <c r="L841" s="1105">
        <v>0</v>
      </c>
      <c r="M841" s="1088">
        <f t="shared" si="26"/>
        <v>0</v>
      </c>
      <c r="N841" s="359"/>
      <c r="O841" s="1114">
        <v>3</v>
      </c>
      <c r="P841" s="1113">
        <f t="shared" si="27"/>
        <v>12000</v>
      </c>
    </row>
    <row r="842" spans="1:16" ht="12.75" thickBot="1" x14ac:dyDescent="0.25">
      <c r="A842" s="1097" t="s">
        <v>2333</v>
      </c>
      <c r="B842" s="1098" t="s">
        <v>2334</v>
      </c>
      <c r="C842" s="1099" t="s">
        <v>1444</v>
      </c>
      <c r="D842" s="359" t="s">
        <v>2786</v>
      </c>
      <c r="E842" s="1113">
        <v>8000</v>
      </c>
      <c r="F842" s="1047">
        <v>2670120</v>
      </c>
      <c r="G842" s="359" t="s">
        <v>2795</v>
      </c>
      <c r="H842" s="359" t="s">
        <v>1834</v>
      </c>
      <c r="I842" s="1102" t="s">
        <v>2338</v>
      </c>
      <c r="J842" s="359" t="s">
        <v>1834</v>
      </c>
      <c r="K842" s="683"/>
      <c r="L842" s="1105">
        <v>0</v>
      </c>
      <c r="M842" s="1088">
        <f t="shared" si="26"/>
        <v>0</v>
      </c>
      <c r="N842" s="359"/>
      <c r="O842" s="1114">
        <v>3</v>
      </c>
      <c r="P842" s="1113">
        <f t="shared" si="27"/>
        <v>24000</v>
      </c>
    </row>
    <row r="843" spans="1:16" ht="12.75" thickBot="1" x14ac:dyDescent="0.25">
      <c r="A843" s="1097" t="s">
        <v>2333</v>
      </c>
      <c r="B843" s="1098" t="s">
        <v>2334</v>
      </c>
      <c r="C843" s="1099" t="s">
        <v>1444</v>
      </c>
      <c r="D843" s="359" t="s">
        <v>2786</v>
      </c>
      <c r="E843" s="1113">
        <v>5000</v>
      </c>
      <c r="F843" s="1047">
        <v>46923848</v>
      </c>
      <c r="G843" s="359" t="s">
        <v>2796</v>
      </c>
      <c r="H843" s="359" t="s">
        <v>2797</v>
      </c>
      <c r="I843" s="1102" t="s">
        <v>2338</v>
      </c>
      <c r="J843" s="359" t="s">
        <v>2797</v>
      </c>
      <c r="K843" s="683"/>
      <c r="L843" s="1105">
        <v>0</v>
      </c>
      <c r="M843" s="1088">
        <f t="shared" si="26"/>
        <v>0</v>
      </c>
      <c r="N843" s="359"/>
      <c r="O843" s="1114">
        <v>3</v>
      </c>
      <c r="P843" s="1113">
        <f t="shared" si="27"/>
        <v>15000</v>
      </c>
    </row>
    <row r="844" spans="1:16" ht="12.75" thickBot="1" x14ac:dyDescent="0.25">
      <c r="A844" s="1097" t="s">
        <v>2333</v>
      </c>
      <c r="B844" s="1098" t="s">
        <v>2334</v>
      </c>
      <c r="C844" s="1099" t="s">
        <v>1444</v>
      </c>
      <c r="D844" s="359" t="s">
        <v>2786</v>
      </c>
      <c r="E844" s="1113">
        <v>4000</v>
      </c>
      <c r="F844" s="1047">
        <v>43300860</v>
      </c>
      <c r="G844" s="359" t="s">
        <v>2798</v>
      </c>
      <c r="H844" s="359" t="s">
        <v>2788</v>
      </c>
      <c r="I844" s="1102" t="s">
        <v>2338</v>
      </c>
      <c r="J844" s="359" t="s">
        <v>2788</v>
      </c>
      <c r="K844" s="683"/>
      <c r="L844" s="1105">
        <v>0</v>
      </c>
      <c r="M844" s="1088">
        <f t="shared" si="26"/>
        <v>0</v>
      </c>
      <c r="N844" s="359"/>
      <c r="O844" s="1114">
        <v>3</v>
      </c>
      <c r="P844" s="1113">
        <f t="shared" si="27"/>
        <v>12000</v>
      </c>
    </row>
    <row r="845" spans="1:16" ht="12.75" thickBot="1" x14ac:dyDescent="0.25">
      <c r="A845" s="1097" t="s">
        <v>2333</v>
      </c>
      <c r="B845" s="1098" t="s">
        <v>2334</v>
      </c>
      <c r="C845" s="1099" t="s">
        <v>1444</v>
      </c>
      <c r="D845" s="359" t="s">
        <v>2786</v>
      </c>
      <c r="E845" s="1113">
        <v>4000</v>
      </c>
      <c r="F845" s="1047">
        <v>43435608</v>
      </c>
      <c r="G845" s="359" t="s">
        <v>2799</v>
      </c>
      <c r="H845" s="359" t="s">
        <v>2788</v>
      </c>
      <c r="I845" s="1102" t="s">
        <v>2338</v>
      </c>
      <c r="J845" s="359" t="s">
        <v>2788</v>
      </c>
      <c r="K845" s="683"/>
      <c r="L845" s="1105">
        <v>0</v>
      </c>
      <c r="M845" s="1088">
        <f t="shared" si="26"/>
        <v>0</v>
      </c>
      <c r="N845" s="359"/>
      <c r="O845" s="1114">
        <v>3</v>
      </c>
      <c r="P845" s="1113">
        <f t="shared" si="27"/>
        <v>12000</v>
      </c>
    </row>
    <row r="846" spans="1:16" ht="12.75" thickBot="1" x14ac:dyDescent="0.25">
      <c r="A846" s="1097" t="s">
        <v>2333</v>
      </c>
      <c r="B846" s="1098" t="s">
        <v>2334</v>
      </c>
      <c r="C846" s="1099" t="s">
        <v>1444</v>
      </c>
      <c r="D846" s="359" t="s">
        <v>2786</v>
      </c>
      <c r="E846" s="1113">
        <v>8000</v>
      </c>
      <c r="F846" s="1047">
        <v>25797047</v>
      </c>
      <c r="G846" s="359" t="s">
        <v>2800</v>
      </c>
      <c r="H846" s="359" t="s">
        <v>1834</v>
      </c>
      <c r="I846" s="1102" t="s">
        <v>2338</v>
      </c>
      <c r="J846" s="359" t="s">
        <v>1834</v>
      </c>
      <c r="K846" s="683"/>
      <c r="L846" s="1105">
        <v>0</v>
      </c>
      <c r="M846" s="1088">
        <f t="shared" si="26"/>
        <v>0</v>
      </c>
      <c r="N846" s="359"/>
      <c r="O846" s="1114">
        <v>3</v>
      </c>
      <c r="P846" s="1113">
        <f t="shared" si="27"/>
        <v>24000</v>
      </c>
    </row>
    <row r="847" spans="1:16" ht="12.75" thickBot="1" x14ac:dyDescent="0.25">
      <c r="A847" s="1097" t="s">
        <v>2333</v>
      </c>
      <c r="B847" s="1098" t="s">
        <v>2334</v>
      </c>
      <c r="C847" s="1099" t="s">
        <v>1444</v>
      </c>
      <c r="D847" s="359" t="s">
        <v>2786</v>
      </c>
      <c r="E847" s="1113">
        <v>4000</v>
      </c>
      <c r="F847" s="1047">
        <v>25817465</v>
      </c>
      <c r="G847" s="359" t="s">
        <v>2801</v>
      </c>
      <c r="H847" s="359" t="s">
        <v>2788</v>
      </c>
      <c r="I847" s="1102" t="s">
        <v>2338</v>
      </c>
      <c r="J847" s="359" t="s">
        <v>2788</v>
      </c>
      <c r="K847" s="683"/>
      <c r="L847" s="1105">
        <v>0</v>
      </c>
      <c r="M847" s="1088">
        <f t="shared" si="26"/>
        <v>0</v>
      </c>
      <c r="N847" s="359"/>
      <c r="O847" s="1114">
        <v>3</v>
      </c>
      <c r="P847" s="1113">
        <f t="shared" si="27"/>
        <v>12000</v>
      </c>
    </row>
    <row r="848" spans="1:16" ht="12.75" thickBot="1" x14ac:dyDescent="0.25">
      <c r="A848" s="1097" t="s">
        <v>2333</v>
      </c>
      <c r="B848" s="1098" t="s">
        <v>2334</v>
      </c>
      <c r="C848" s="1099" t="s">
        <v>1444</v>
      </c>
      <c r="D848" s="359" t="s">
        <v>2786</v>
      </c>
      <c r="E848" s="1113">
        <v>4000</v>
      </c>
      <c r="F848" s="1047">
        <v>41240265</v>
      </c>
      <c r="G848" s="359" t="s">
        <v>2802</v>
      </c>
      <c r="H848" s="359" t="s">
        <v>2788</v>
      </c>
      <c r="I848" s="1102" t="s">
        <v>2338</v>
      </c>
      <c r="J848" s="359" t="s">
        <v>2788</v>
      </c>
      <c r="K848" s="683"/>
      <c r="L848" s="1105">
        <v>0</v>
      </c>
      <c r="M848" s="1088">
        <f t="shared" si="26"/>
        <v>0</v>
      </c>
      <c r="N848" s="359"/>
      <c r="O848" s="1114">
        <v>3</v>
      </c>
      <c r="P848" s="1113">
        <f t="shared" si="27"/>
        <v>12000</v>
      </c>
    </row>
    <row r="849" spans="1:16" ht="12.75" thickBot="1" x14ac:dyDescent="0.25">
      <c r="A849" s="1097" t="s">
        <v>2333</v>
      </c>
      <c r="B849" s="1098" t="s">
        <v>2334</v>
      </c>
      <c r="C849" s="1099" t="s">
        <v>1444</v>
      </c>
      <c r="D849" s="359" t="s">
        <v>2786</v>
      </c>
      <c r="E849" s="1113">
        <v>3000</v>
      </c>
      <c r="F849" s="1047">
        <v>46083997</v>
      </c>
      <c r="G849" s="359" t="s">
        <v>2803</v>
      </c>
      <c r="H849" s="359" t="s">
        <v>2792</v>
      </c>
      <c r="I849" s="1102" t="s">
        <v>2338</v>
      </c>
      <c r="J849" s="359" t="s">
        <v>2792</v>
      </c>
      <c r="K849" s="683"/>
      <c r="L849" s="1105">
        <v>0</v>
      </c>
      <c r="M849" s="1088">
        <f t="shared" si="26"/>
        <v>0</v>
      </c>
      <c r="N849" s="359"/>
      <c r="O849" s="1114">
        <v>3</v>
      </c>
      <c r="P849" s="1113">
        <f t="shared" si="27"/>
        <v>9000</v>
      </c>
    </row>
    <row r="850" spans="1:16" ht="12.75" thickBot="1" x14ac:dyDescent="0.25">
      <c r="A850" s="1097" t="s">
        <v>2333</v>
      </c>
      <c r="B850" s="1098" t="s">
        <v>2334</v>
      </c>
      <c r="C850" s="1099" t="s">
        <v>1444</v>
      </c>
      <c r="D850" s="359" t="s">
        <v>2786</v>
      </c>
      <c r="E850" s="1113">
        <v>5000</v>
      </c>
      <c r="F850" s="1047">
        <v>8502054</v>
      </c>
      <c r="G850" s="359" t="s">
        <v>2804</v>
      </c>
      <c r="H850" s="359" t="s">
        <v>2797</v>
      </c>
      <c r="I850" s="1102" t="s">
        <v>2338</v>
      </c>
      <c r="J850" s="359" t="s">
        <v>2797</v>
      </c>
      <c r="K850" s="683"/>
      <c r="L850" s="1105">
        <v>0</v>
      </c>
      <c r="M850" s="1088">
        <f t="shared" si="26"/>
        <v>0</v>
      </c>
      <c r="N850" s="359"/>
      <c r="O850" s="1114">
        <v>3</v>
      </c>
      <c r="P850" s="1113">
        <f t="shared" si="27"/>
        <v>15000</v>
      </c>
    </row>
    <row r="851" spans="1:16" ht="12.75" thickBot="1" x14ac:dyDescent="0.25">
      <c r="A851" s="1097" t="s">
        <v>2333</v>
      </c>
      <c r="B851" s="1098" t="s">
        <v>2334</v>
      </c>
      <c r="C851" s="1099" t="s">
        <v>1444</v>
      </c>
      <c r="D851" s="359" t="s">
        <v>2786</v>
      </c>
      <c r="E851" s="1113">
        <v>8000</v>
      </c>
      <c r="F851" s="1047">
        <v>40754895</v>
      </c>
      <c r="G851" s="359" t="s">
        <v>2805</v>
      </c>
      <c r="H851" s="359" t="s">
        <v>1834</v>
      </c>
      <c r="I851" s="1102" t="s">
        <v>2338</v>
      </c>
      <c r="J851" s="359" t="s">
        <v>1834</v>
      </c>
      <c r="K851" s="683"/>
      <c r="L851" s="1105">
        <v>0</v>
      </c>
      <c r="M851" s="1088">
        <f t="shared" si="26"/>
        <v>0</v>
      </c>
      <c r="N851" s="359"/>
      <c r="O851" s="1114">
        <v>3</v>
      </c>
      <c r="P851" s="1113">
        <f t="shared" si="27"/>
        <v>24000</v>
      </c>
    </row>
    <row r="852" spans="1:16" ht="12.75" thickBot="1" x14ac:dyDescent="0.25">
      <c r="A852" s="1097" t="s">
        <v>2333</v>
      </c>
      <c r="B852" s="1098" t="s">
        <v>2334</v>
      </c>
      <c r="C852" s="1099" t="s">
        <v>1444</v>
      </c>
      <c r="D852" s="359" t="s">
        <v>2786</v>
      </c>
      <c r="E852" s="1113">
        <v>5000</v>
      </c>
      <c r="F852" s="1047">
        <v>6252189</v>
      </c>
      <c r="G852" s="359" t="s">
        <v>2806</v>
      </c>
      <c r="H852" s="359" t="s">
        <v>2797</v>
      </c>
      <c r="I852" s="1102" t="s">
        <v>2338</v>
      </c>
      <c r="J852" s="359" t="s">
        <v>2797</v>
      </c>
      <c r="K852" s="683"/>
      <c r="L852" s="1105">
        <v>0</v>
      </c>
      <c r="M852" s="1088">
        <f t="shared" si="26"/>
        <v>0</v>
      </c>
      <c r="N852" s="359"/>
      <c r="O852" s="1114">
        <v>3</v>
      </c>
      <c r="P852" s="1113">
        <f t="shared" si="27"/>
        <v>15000</v>
      </c>
    </row>
    <row r="853" spans="1:16" ht="12.75" thickBot="1" x14ac:dyDescent="0.25">
      <c r="A853" s="1097" t="s">
        <v>2333</v>
      </c>
      <c r="B853" s="1098" t="s">
        <v>2334</v>
      </c>
      <c r="C853" s="1099" t="s">
        <v>1444</v>
      </c>
      <c r="D853" s="359" t="s">
        <v>2786</v>
      </c>
      <c r="E853" s="1113">
        <v>5000</v>
      </c>
      <c r="F853" s="1047">
        <v>46705413</v>
      </c>
      <c r="G853" s="359" t="s">
        <v>2807</v>
      </c>
      <c r="H853" s="359" t="s">
        <v>2797</v>
      </c>
      <c r="I853" s="1102" t="s">
        <v>2338</v>
      </c>
      <c r="J853" s="359" t="s">
        <v>2797</v>
      </c>
      <c r="K853" s="683"/>
      <c r="L853" s="1105">
        <v>0</v>
      </c>
      <c r="M853" s="1088">
        <f t="shared" si="26"/>
        <v>0</v>
      </c>
      <c r="N853" s="359"/>
      <c r="O853" s="1114">
        <v>3</v>
      </c>
      <c r="P853" s="1113">
        <f t="shared" si="27"/>
        <v>15000</v>
      </c>
    </row>
    <row r="854" spans="1:16" ht="12.75" thickBot="1" x14ac:dyDescent="0.25">
      <c r="A854" s="1097" t="s">
        <v>2333</v>
      </c>
      <c r="B854" s="1098" t="s">
        <v>2334</v>
      </c>
      <c r="C854" s="1099" t="s">
        <v>1444</v>
      </c>
      <c r="D854" s="359" t="s">
        <v>2786</v>
      </c>
      <c r="E854" s="1113">
        <v>4000</v>
      </c>
      <c r="F854" s="1047">
        <v>41888712</v>
      </c>
      <c r="G854" s="359" t="s">
        <v>2808</v>
      </c>
      <c r="H854" s="359" t="s">
        <v>2788</v>
      </c>
      <c r="I854" s="1102" t="s">
        <v>2338</v>
      </c>
      <c r="J854" s="359" t="s">
        <v>2788</v>
      </c>
      <c r="K854" s="683"/>
      <c r="L854" s="1105">
        <v>0</v>
      </c>
      <c r="M854" s="1088">
        <f t="shared" si="26"/>
        <v>0</v>
      </c>
      <c r="N854" s="359"/>
      <c r="O854" s="1114">
        <v>3</v>
      </c>
      <c r="P854" s="1113">
        <f t="shared" si="27"/>
        <v>12000</v>
      </c>
    </row>
    <row r="855" spans="1:16" ht="12.75" thickBot="1" x14ac:dyDescent="0.25">
      <c r="A855" s="1097" t="s">
        <v>2333</v>
      </c>
      <c r="B855" s="1098" t="s">
        <v>2334</v>
      </c>
      <c r="C855" s="1099" t="s">
        <v>1444</v>
      </c>
      <c r="D855" s="359" t="s">
        <v>2786</v>
      </c>
      <c r="E855" s="1113">
        <v>3000</v>
      </c>
      <c r="F855" s="1047">
        <v>47464424</v>
      </c>
      <c r="G855" s="359" t="s">
        <v>2809</v>
      </c>
      <c r="H855" s="359" t="s">
        <v>2792</v>
      </c>
      <c r="I855" s="1102" t="s">
        <v>2338</v>
      </c>
      <c r="J855" s="359" t="s">
        <v>2792</v>
      </c>
      <c r="K855" s="683"/>
      <c r="L855" s="1105">
        <v>0</v>
      </c>
      <c r="M855" s="1088">
        <f t="shared" si="26"/>
        <v>0</v>
      </c>
      <c r="N855" s="359"/>
      <c r="O855" s="1114">
        <v>3</v>
      </c>
      <c r="P855" s="1113">
        <f t="shared" si="27"/>
        <v>9000</v>
      </c>
    </row>
    <row r="856" spans="1:16" ht="12.75" thickBot="1" x14ac:dyDescent="0.25">
      <c r="A856" s="1097" t="s">
        <v>2333</v>
      </c>
      <c r="B856" s="1098" t="s">
        <v>2334</v>
      </c>
      <c r="C856" s="1099" t="s">
        <v>1444</v>
      </c>
      <c r="D856" s="359" t="s">
        <v>2786</v>
      </c>
      <c r="E856" s="1113">
        <v>4000</v>
      </c>
      <c r="F856" s="1047">
        <v>8144544</v>
      </c>
      <c r="G856" s="359" t="s">
        <v>2810</v>
      </c>
      <c r="H856" s="359" t="s">
        <v>2788</v>
      </c>
      <c r="I856" s="1102" t="s">
        <v>2338</v>
      </c>
      <c r="J856" s="359" t="s">
        <v>2788</v>
      </c>
      <c r="K856" s="683"/>
      <c r="L856" s="1105">
        <v>0</v>
      </c>
      <c r="M856" s="1088">
        <f t="shared" si="26"/>
        <v>0</v>
      </c>
      <c r="N856" s="359"/>
      <c r="O856" s="1114">
        <v>3</v>
      </c>
      <c r="P856" s="1113">
        <f t="shared" si="27"/>
        <v>12000</v>
      </c>
    </row>
    <row r="857" spans="1:16" ht="12.75" thickBot="1" x14ac:dyDescent="0.25">
      <c r="A857" s="1097" t="s">
        <v>2333</v>
      </c>
      <c r="B857" s="1098" t="s">
        <v>2334</v>
      </c>
      <c r="C857" s="1099" t="s">
        <v>1444</v>
      </c>
      <c r="D857" s="359" t="s">
        <v>2786</v>
      </c>
      <c r="E857" s="1113">
        <v>11000</v>
      </c>
      <c r="F857" s="1047">
        <v>7242747</v>
      </c>
      <c r="G857" s="359" t="s">
        <v>2811</v>
      </c>
      <c r="H857" s="359" t="s">
        <v>2790</v>
      </c>
      <c r="I857" s="1102" t="s">
        <v>2338</v>
      </c>
      <c r="J857" s="359" t="s">
        <v>2790</v>
      </c>
      <c r="K857" s="683"/>
      <c r="L857" s="1105">
        <v>0</v>
      </c>
      <c r="M857" s="1088">
        <f t="shared" si="26"/>
        <v>0</v>
      </c>
      <c r="N857" s="359"/>
      <c r="O857" s="1114">
        <v>3</v>
      </c>
      <c r="P857" s="1113">
        <f t="shared" si="27"/>
        <v>33000</v>
      </c>
    </row>
    <row r="858" spans="1:16" ht="12.75" thickBot="1" x14ac:dyDescent="0.25">
      <c r="A858" s="1097" t="s">
        <v>2333</v>
      </c>
      <c r="B858" s="1098" t="s">
        <v>2334</v>
      </c>
      <c r="C858" s="1099" t="s">
        <v>1444</v>
      </c>
      <c r="D858" s="359" t="s">
        <v>2786</v>
      </c>
      <c r="E858" s="1113">
        <v>3000</v>
      </c>
      <c r="F858" s="1047">
        <v>9917613</v>
      </c>
      <c r="G858" s="359" t="s">
        <v>2812</v>
      </c>
      <c r="H858" s="359" t="s">
        <v>2792</v>
      </c>
      <c r="I858" s="1102" t="s">
        <v>2338</v>
      </c>
      <c r="J858" s="359" t="s">
        <v>2792</v>
      </c>
      <c r="K858" s="683"/>
      <c r="L858" s="1105">
        <v>0</v>
      </c>
      <c r="M858" s="1088">
        <f t="shared" si="26"/>
        <v>0</v>
      </c>
      <c r="N858" s="359"/>
      <c r="O858" s="1114">
        <v>3</v>
      </c>
      <c r="P858" s="1113">
        <f t="shared" si="27"/>
        <v>9000</v>
      </c>
    </row>
    <row r="859" spans="1:16" ht="12.75" thickBot="1" x14ac:dyDescent="0.25">
      <c r="A859" s="1097" t="s">
        <v>2333</v>
      </c>
      <c r="B859" s="1098" t="s">
        <v>2334</v>
      </c>
      <c r="C859" s="1099" t="s">
        <v>1444</v>
      </c>
      <c r="D859" s="359" t="s">
        <v>2786</v>
      </c>
      <c r="E859" s="1113">
        <v>4000</v>
      </c>
      <c r="F859" s="1047">
        <v>41569796</v>
      </c>
      <c r="G859" s="359" t="s">
        <v>2813</v>
      </c>
      <c r="H859" s="359" t="s">
        <v>2788</v>
      </c>
      <c r="I859" s="1102" t="s">
        <v>2338</v>
      </c>
      <c r="J859" s="359" t="s">
        <v>2788</v>
      </c>
      <c r="K859" s="683"/>
      <c r="L859" s="1105">
        <v>0</v>
      </c>
      <c r="M859" s="1088">
        <f t="shared" si="26"/>
        <v>0</v>
      </c>
      <c r="N859" s="359"/>
      <c r="O859" s="1114">
        <v>3</v>
      </c>
      <c r="P859" s="1113">
        <f t="shared" si="27"/>
        <v>12000</v>
      </c>
    </row>
    <row r="860" spans="1:16" ht="12.75" thickBot="1" x14ac:dyDescent="0.25">
      <c r="A860" s="1097" t="s">
        <v>2333</v>
      </c>
      <c r="B860" s="1098" t="s">
        <v>2334</v>
      </c>
      <c r="C860" s="1099" t="s">
        <v>1444</v>
      </c>
      <c r="D860" s="359" t="s">
        <v>2786</v>
      </c>
      <c r="E860" s="1113">
        <v>6000</v>
      </c>
      <c r="F860" s="1047">
        <v>516383</v>
      </c>
      <c r="G860" s="359" t="s">
        <v>2814</v>
      </c>
      <c r="H860" s="359" t="s">
        <v>2797</v>
      </c>
      <c r="I860" s="1102" t="s">
        <v>2338</v>
      </c>
      <c r="J860" s="359" t="s">
        <v>2797</v>
      </c>
      <c r="K860" s="683"/>
      <c r="L860" s="1105">
        <v>0</v>
      </c>
      <c r="M860" s="1088">
        <f t="shared" si="26"/>
        <v>0</v>
      </c>
      <c r="N860" s="359"/>
      <c r="O860" s="1114">
        <v>3</v>
      </c>
      <c r="P860" s="1113">
        <f t="shared" si="27"/>
        <v>18000</v>
      </c>
    </row>
    <row r="861" spans="1:16" ht="12.75" thickBot="1" x14ac:dyDescent="0.25">
      <c r="A861" s="1097" t="s">
        <v>2333</v>
      </c>
      <c r="B861" s="1098" t="s">
        <v>2334</v>
      </c>
      <c r="C861" s="1099" t="s">
        <v>1444</v>
      </c>
      <c r="D861" s="359" t="s">
        <v>2786</v>
      </c>
      <c r="E861" s="1113">
        <v>3000</v>
      </c>
      <c r="F861" s="1047">
        <v>41944242</v>
      </c>
      <c r="G861" s="359" t="s">
        <v>2815</v>
      </c>
      <c r="H861" s="359" t="s">
        <v>2792</v>
      </c>
      <c r="I861" s="1102" t="s">
        <v>2338</v>
      </c>
      <c r="J861" s="359" t="s">
        <v>2792</v>
      </c>
      <c r="K861" s="683"/>
      <c r="L861" s="1105">
        <v>0</v>
      </c>
      <c r="M861" s="1088">
        <f t="shared" si="26"/>
        <v>0</v>
      </c>
      <c r="N861" s="359"/>
      <c r="O861" s="1114">
        <v>3</v>
      </c>
      <c r="P861" s="1113">
        <f t="shared" si="27"/>
        <v>9000</v>
      </c>
    </row>
    <row r="862" spans="1:16" ht="12.75" thickBot="1" x14ac:dyDescent="0.25">
      <c r="A862" s="1097" t="s">
        <v>2333</v>
      </c>
      <c r="B862" s="1098" t="s">
        <v>2334</v>
      </c>
      <c r="C862" s="1099" t="s">
        <v>1444</v>
      </c>
      <c r="D862" s="359" t="s">
        <v>2786</v>
      </c>
      <c r="E862" s="1113">
        <v>8000</v>
      </c>
      <c r="F862" s="1047">
        <v>40520357</v>
      </c>
      <c r="G862" s="359" t="s">
        <v>2816</v>
      </c>
      <c r="H862" s="359" t="s">
        <v>1834</v>
      </c>
      <c r="I862" s="1102" t="s">
        <v>2338</v>
      </c>
      <c r="J862" s="359" t="s">
        <v>1834</v>
      </c>
      <c r="K862" s="683"/>
      <c r="L862" s="1105">
        <v>0</v>
      </c>
      <c r="M862" s="1088">
        <f t="shared" si="26"/>
        <v>0</v>
      </c>
      <c r="N862" s="359"/>
      <c r="O862" s="1114">
        <v>3</v>
      </c>
      <c r="P862" s="1113">
        <f t="shared" si="27"/>
        <v>24000</v>
      </c>
    </row>
    <row r="863" spans="1:16" ht="12.75" thickBot="1" x14ac:dyDescent="0.25">
      <c r="A863" s="1097" t="s">
        <v>2333</v>
      </c>
      <c r="B863" s="1098" t="s">
        <v>2334</v>
      </c>
      <c r="C863" s="1099" t="s">
        <v>1444</v>
      </c>
      <c r="D863" s="359" t="s">
        <v>2786</v>
      </c>
      <c r="E863" s="1113">
        <v>8000</v>
      </c>
      <c r="F863" s="1047">
        <v>6052440</v>
      </c>
      <c r="G863" s="359" t="s">
        <v>2817</v>
      </c>
      <c r="H863" s="359" t="s">
        <v>1834</v>
      </c>
      <c r="I863" s="1102" t="s">
        <v>2338</v>
      </c>
      <c r="J863" s="359" t="s">
        <v>1834</v>
      </c>
      <c r="K863" s="683"/>
      <c r="L863" s="1105">
        <v>0</v>
      </c>
      <c r="M863" s="1088">
        <f t="shared" si="26"/>
        <v>0</v>
      </c>
      <c r="N863" s="359"/>
      <c r="O863" s="1114">
        <v>3</v>
      </c>
      <c r="P863" s="1113">
        <f t="shared" si="27"/>
        <v>24000</v>
      </c>
    </row>
    <row r="864" spans="1:16" ht="12.75" thickBot="1" x14ac:dyDescent="0.25">
      <c r="A864" s="1097" t="s">
        <v>2333</v>
      </c>
      <c r="B864" s="1098" t="s">
        <v>2334</v>
      </c>
      <c r="C864" s="1099" t="s">
        <v>1444</v>
      </c>
      <c r="D864" s="359" t="s">
        <v>2786</v>
      </c>
      <c r="E864" s="1113">
        <v>5000</v>
      </c>
      <c r="F864" s="1047">
        <v>25690436</v>
      </c>
      <c r="G864" s="359" t="s">
        <v>2818</v>
      </c>
      <c r="H864" s="359" t="s">
        <v>2797</v>
      </c>
      <c r="I864" s="1102" t="s">
        <v>2338</v>
      </c>
      <c r="J864" s="359" t="s">
        <v>2797</v>
      </c>
      <c r="K864" s="683"/>
      <c r="L864" s="1105">
        <v>0</v>
      </c>
      <c r="M864" s="1088">
        <f t="shared" si="26"/>
        <v>0</v>
      </c>
      <c r="N864" s="359"/>
      <c r="O864" s="1114">
        <v>3</v>
      </c>
      <c r="P864" s="1113">
        <f t="shared" si="27"/>
        <v>15000</v>
      </c>
    </row>
    <row r="865" spans="1:16" ht="12.75" thickBot="1" x14ac:dyDescent="0.25">
      <c r="A865" s="1097" t="s">
        <v>2333</v>
      </c>
      <c r="B865" s="1098" t="s">
        <v>2334</v>
      </c>
      <c r="C865" s="1099" t="s">
        <v>1444</v>
      </c>
      <c r="D865" s="359" t="s">
        <v>2786</v>
      </c>
      <c r="E865" s="1113">
        <v>8000</v>
      </c>
      <c r="F865" s="1047">
        <v>40579232</v>
      </c>
      <c r="G865" s="359" t="s">
        <v>2819</v>
      </c>
      <c r="H865" s="359" t="s">
        <v>1834</v>
      </c>
      <c r="I865" s="1102" t="s">
        <v>2338</v>
      </c>
      <c r="J865" s="359" t="s">
        <v>1834</v>
      </c>
      <c r="K865" s="683"/>
      <c r="L865" s="1105">
        <v>0</v>
      </c>
      <c r="M865" s="1088">
        <f t="shared" si="26"/>
        <v>0</v>
      </c>
      <c r="N865" s="359"/>
      <c r="O865" s="1114">
        <v>3</v>
      </c>
      <c r="P865" s="1113">
        <f t="shared" si="27"/>
        <v>24000</v>
      </c>
    </row>
    <row r="866" spans="1:16" ht="12.75" thickBot="1" x14ac:dyDescent="0.25">
      <c r="A866" s="1097" t="s">
        <v>2333</v>
      </c>
      <c r="B866" s="1098" t="s">
        <v>2334</v>
      </c>
      <c r="C866" s="1099" t="s">
        <v>1444</v>
      </c>
      <c r="D866" s="359" t="s">
        <v>2786</v>
      </c>
      <c r="E866" s="1113">
        <v>4000</v>
      </c>
      <c r="F866" s="1047">
        <v>25817360</v>
      </c>
      <c r="G866" s="359" t="s">
        <v>2820</v>
      </c>
      <c r="H866" s="359" t="s">
        <v>2788</v>
      </c>
      <c r="I866" s="1102" t="s">
        <v>2338</v>
      </c>
      <c r="J866" s="359" t="s">
        <v>2788</v>
      </c>
      <c r="K866" s="683"/>
      <c r="L866" s="1105">
        <v>0</v>
      </c>
      <c r="M866" s="1088">
        <f t="shared" si="26"/>
        <v>0</v>
      </c>
      <c r="N866" s="359"/>
      <c r="O866" s="1114">
        <v>3</v>
      </c>
      <c r="P866" s="1113">
        <f t="shared" si="27"/>
        <v>12000</v>
      </c>
    </row>
    <row r="867" spans="1:16" ht="12.75" thickBot="1" x14ac:dyDescent="0.25">
      <c r="A867" s="1097" t="s">
        <v>2333</v>
      </c>
      <c r="B867" s="1098" t="s">
        <v>2334</v>
      </c>
      <c r="C867" s="1099" t="s">
        <v>1444</v>
      </c>
      <c r="D867" s="359" t="s">
        <v>2786</v>
      </c>
      <c r="E867" s="1113">
        <v>4000</v>
      </c>
      <c r="F867" s="1047">
        <v>41778126</v>
      </c>
      <c r="G867" s="359" t="s">
        <v>2821</v>
      </c>
      <c r="H867" s="359" t="s">
        <v>2788</v>
      </c>
      <c r="I867" s="1102" t="s">
        <v>2338</v>
      </c>
      <c r="J867" s="359" t="s">
        <v>2788</v>
      </c>
      <c r="K867" s="683"/>
      <c r="L867" s="1105">
        <v>0</v>
      </c>
      <c r="M867" s="1088">
        <f t="shared" si="26"/>
        <v>0</v>
      </c>
      <c r="N867" s="359"/>
      <c r="O867" s="1114">
        <v>3</v>
      </c>
      <c r="P867" s="1113">
        <f t="shared" si="27"/>
        <v>12000</v>
      </c>
    </row>
    <row r="868" spans="1:16" ht="12.75" thickBot="1" x14ac:dyDescent="0.25">
      <c r="A868" s="1097" t="s">
        <v>2333</v>
      </c>
      <c r="B868" s="1098" t="s">
        <v>2334</v>
      </c>
      <c r="C868" s="1099" t="s">
        <v>1444</v>
      </c>
      <c r="D868" s="359" t="s">
        <v>2786</v>
      </c>
      <c r="E868" s="1113">
        <v>4000</v>
      </c>
      <c r="F868" s="1047">
        <v>10606689</v>
      </c>
      <c r="G868" s="359" t="s">
        <v>2822</v>
      </c>
      <c r="H868" s="359" t="s">
        <v>2788</v>
      </c>
      <c r="I868" s="1102" t="s">
        <v>2338</v>
      </c>
      <c r="J868" s="359" t="s">
        <v>2788</v>
      </c>
      <c r="K868" s="683"/>
      <c r="L868" s="1105">
        <v>0</v>
      </c>
      <c r="M868" s="1088">
        <f t="shared" si="26"/>
        <v>0</v>
      </c>
      <c r="N868" s="359"/>
      <c r="O868" s="1114">
        <v>3</v>
      </c>
      <c r="P868" s="1113">
        <f t="shared" si="27"/>
        <v>12000</v>
      </c>
    </row>
    <row r="869" spans="1:16" ht="12.75" thickBot="1" x14ac:dyDescent="0.25">
      <c r="A869" s="1097" t="s">
        <v>2333</v>
      </c>
      <c r="B869" s="1098" t="s">
        <v>2334</v>
      </c>
      <c r="C869" s="1099" t="s">
        <v>1444</v>
      </c>
      <c r="D869" s="359" t="s">
        <v>2786</v>
      </c>
      <c r="E869" s="1113">
        <v>4000</v>
      </c>
      <c r="F869" s="1047">
        <v>42184982</v>
      </c>
      <c r="G869" s="359" t="s">
        <v>2823</v>
      </c>
      <c r="H869" s="359" t="s">
        <v>2788</v>
      </c>
      <c r="I869" s="1102" t="s">
        <v>2338</v>
      </c>
      <c r="J869" s="359" t="s">
        <v>2788</v>
      </c>
      <c r="K869" s="683"/>
      <c r="L869" s="1105">
        <v>0</v>
      </c>
      <c r="M869" s="1088">
        <f t="shared" si="26"/>
        <v>0</v>
      </c>
      <c r="N869" s="359"/>
      <c r="O869" s="1114">
        <v>3</v>
      </c>
      <c r="P869" s="1113">
        <f t="shared" si="27"/>
        <v>12000</v>
      </c>
    </row>
    <row r="870" spans="1:16" ht="12.75" thickBot="1" x14ac:dyDescent="0.25">
      <c r="A870" s="1097" t="s">
        <v>2333</v>
      </c>
      <c r="B870" s="1098" t="s">
        <v>2334</v>
      </c>
      <c r="C870" s="1099" t="s">
        <v>1444</v>
      </c>
      <c r="D870" s="359" t="s">
        <v>2786</v>
      </c>
      <c r="E870" s="1113">
        <v>4000</v>
      </c>
      <c r="F870" s="1047">
        <v>10293180</v>
      </c>
      <c r="G870" s="359" t="s">
        <v>2824</v>
      </c>
      <c r="H870" s="359" t="s">
        <v>2788</v>
      </c>
      <c r="I870" s="1102" t="s">
        <v>2338</v>
      </c>
      <c r="J870" s="359" t="s">
        <v>2788</v>
      </c>
      <c r="K870" s="683"/>
      <c r="L870" s="1105">
        <v>0</v>
      </c>
      <c r="M870" s="1088">
        <f t="shared" si="26"/>
        <v>0</v>
      </c>
      <c r="N870" s="359"/>
      <c r="O870" s="1114">
        <v>3</v>
      </c>
      <c r="P870" s="1113">
        <f t="shared" si="27"/>
        <v>12000</v>
      </c>
    </row>
    <row r="871" spans="1:16" ht="12.75" thickBot="1" x14ac:dyDescent="0.25">
      <c r="A871" s="1097" t="s">
        <v>2333</v>
      </c>
      <c r="B871" s="1098" t="s">
        <v>2334</v>
      </c>
      <c r="C871" s="1099" t="s">
        <v>1444</v>
      </c>
      <c r="D871" s="359" t="s">
        <v>2786</v>
      </c>
      <c r="E871" s="1113">
        <v>3000</v>
      </c>
      <c r="F871" s="1047">
        <v>42390649</v>
      </c>
      <c r="G871" s="359" t="s">
        <v>2825</v>
      </c>
      <c r="H871" s="359" t="s">
        <v>2792</v>
      </c>
      <c r="I871" s="1102" t="s">
        <v>2338</v>
      </c>
      <c r="J871" s="359" t="s">
        <v>2792</v>
      </c>
      <c r="K871" s="683"/>
      <c r="L871" s="1105">
        <v>0</v>
      </c>
      <c r="M871" s="1088">
        <f t="shared" si="26"/>
        <v>0</v>
      </c>
      <c r="N871" s="359"/>
      <c r="O871" s="1114">
        <v>3</v>
      </c>
      <c r="P871" s="1113">
        <f t="shared" si="27"/>
        <v>9000</v>
      </c>
    </row>
    <row r="872" spans="1:16" x14ac:dyDescent="0.2">
      <c r="A872" s="359"/>
      <c r="B872" s="359"/>
      <c r="C872" s="1047"/>
      <c r="D872" s="359"/>
      <c r="E872" s="359"/>
      <c r="F872" s="1047"/>
      <c r="G872" s="359"/>
      <c r="H872" s="359"/>
      <c r="I872" s="359"/>
      <c r="J872" s="359"/>
      <c r="K872" s="683"/>
      <c r="L872" s="1064"/>
      <c r="M872" s="1115">
        <f>SUM(M514:M871)</f>
        <v>4185600</v>
      </c>
      <c r="N872" s="359"/>
      <c r="O872" s="359"/>
      <c r="P872" s="1115">
        <f>SUM(P514:P871)</f>
        <v>5113800</v>
      </c>
    </row>
    <row r="873" spans="1:16" x14ac:dyDescent="0.2">
      <c r="A873" s="359"/>
      <c r="B873" s="359"/>
      <c r="C873" s="1047"/>
      <c r="D873" s="359"/>
      <c r="E873" s="359"/>
      <c r="F873" s="1047"/>
      <c r="G873" s="359"/>
      <c r="H873" s="359"/>
      <c r="I873" s="359"/>
      <c r="J873" s="359"/>
      <c r="K873" s="683"/>
      <c r="L873" s="1064"/>
      <c r="M873" s="359"/>
      <c r="N873" s="359"/>
      <c r="O873" s="359"/>
      <c r="P873" s="359"/>
    </row>
    <row r="874" spans="1:16" x14ac:dyDescent="0.2">
      <c r="A874" s="490" t="s">
        <v>2282</v>
      </c>
      <c r="B874" s="490"/>
      <c r="C874" s="490"/>
      <c r="D874" s="490"/>
      <c r="E874" s="490"/>
      <c r="F874" s="490"/>
      <c r="G874" s="490"/>
      <c r="H874" s="490"/>
      <c r="I874" s="490"/>
      <c r="J874" s="490"/>
      <c r="K874" s="490"/>
      <c r="L874" s="490"/>
      <c r="M874" s="490"/>
      <c r="N874" s="490"/>
      <c r="O874" s="490"/>
      <c r="P874" s="490"/>
    </row>
    <row r="875" spans="1:16" ht="12.75" thickBot="1" x14ac:dyDescent="0.25">
      <c r="A875" s="15" t="s">
        <v>2831</v>
      </c>
      <c r="B875" s="162"/>
      <c r="C875" s="162"/>
      <c r="D875" s="162"/>
      <c r="E875" s="162"/>
      <c r="F875" s="162"/>
      <c r="G875" s="162"/>
      <c r="H875" s="162"/>
      <c r="I875" s="162"/>
      <c r="J875" s="162"/>
      <c r="M875" s="162"/>
      <c r="N875" s="162"/>
      <c r="O875" s="162"/>
      <c r="P875" s="162"/>
    </row>
    <row r="876" spans="1:16" ht="12.75" thickBot="1" x14ac:dyDescent="0.25">
      <c r="A876" s="1534" t="s">
        <v>147</v>
      </c>
      <c r="B876" s="1535"/>
      <c r="C876" s="1535"/>
      <c r="D876" s="1535"/>
      <c r="E876" s="1536"/>
      <c r="F876" s="1537" t="s">
        <v>148</v>
      </c>
      <c r="G876" s="1538"/>
      <c r="H876" s="1539"/>
      <c r="I876" s="1539"/>
      <c r="J876" s="1540"/>
      <c r="K876" s="1531" t="s">
        <v>1637</v>
      </c>
      <c r="L876" s="1532"/>
      <c r="M876" s="1533"/>
      <c r="N876" s="1531" t="s">
        <v>1638</v>
      </c>
      <c r="O876" s="1532"/>
      <c r="P876" s="1533"/>
    </row>
    <row r="877" spans="1:16" ht="99" thickBot="1" x14ac:dyDescent="0.25">
      <c r="A877" s="511" t="s">
        <v>105</v>
      </c>
      <c r="B877" s="267" t="s">
        <v>8</v>
      </c>
      <c r="C877" s="267" t="s">
        <v>102</v>
      </c>
      <c r="D877" s="512" t="s">
        <v>106</v>
      </c>
      <c r="E877" s="513" t="s">
        <v>128</v>
      </c>
      <c r="F877" s="511" t="s">
        <v>135</v>
      </c>
      <c r="G877" s="512" t="s">
        <v>136</v>
      </c>
      <c r="H877" s="512" t="s">
        <v>150</v>
      </c>
      <c r="I877" s="267" t="s">
        <v>151</v>
      </c>
      <c r="J877" s="510" t="s">
        <v>140</v>
      </c>
      <c r="K877" s="271" t="s">
        <v>137</v>
      </c>
      <c r="L877" s="272" t="s">
        <v>138</v>
      </c>
      <c r="M877" s="273" t="s">
        <v>139</v>
      </c>
      <c r="N877" s="271" t="s">
        <v>137</v>
      </c>
      <c r="O877" s="272" t="s">
        <v>138</v>
      </c>
      <c r="P877" s="273" t="s">
        <v>139</v>
      </c>
    </row>
    <row r="878" spans="1:16" x14ac:dyDescent="0.2">
      <c r="A878" s="1204" t="s">
        <v>2937</v>
      </c>
      <c r="B878" s="1205" t="s">
        <v>2334</v>
      </c>
      <c r="C878" s="1205" t="s">
        <v>1444</v>
      </c>
      <c r="D878" s="1206" t="s">
        <v>1834</v>
      </c>
      <c r="E878" s="1207">
        <v>8000</v>
      </c>
      <c r="F878" s="1208" t="s">
        <v>2938</v>
      </c>
      <c r="G878" s="1206" t="s">
        <v>2939</v>
      </c>
      <c r="H878" s="1206" t="s">
        <v>1834</v>
      </c>
      <c r="I878" s="1209" t="s">
        <v>2940</v>
      </c>
      <c r="J878" s="1206" t="s">
        <v>1834</v>
      </c>
      <c r="K878" s="1205">
        <v>0</v>
      </c>
      <c r="L878" s="1205">
        <v>0</v>
      </c>
      <c r="M878" s="1207">
        <v>0</v>
      </c>
      <c r="N878" s="1205">
        <v>1</v>
      </c>
      <c r="O878" s="1205">
        <v>1</v>
      </c>
      <c r="P878" s="1207">
        <v>8000</v>
      </c>
    </row>
    <row r="879" spans="1:16" x14ac:dyDescent="0.2">
      <c r="A879" s="1204" t="s">
        <v>2937</v>
      </c>
      <c r="B879" s="1205" t="s">
        <v>2334</v>
      </c>
      <c r="C879" s="1205" t="s">
        <v>1444</v>
      </c>
      <c r="D879" s="1206" t="s">
        <v>2337</v>
      </c>
      <c r="E879" s="1207">
        <v>2200</v>
      </c>
      <c r="F879" s="1208" t="s">
        <v>2941</v>
      </c>
      <c r="G879" s="1206" t="s">
        <v>2942</v>
      </c>
      <c r="H879" s="1206" t="s">
        <v>2337</v>
      </c>
      <c r="I879" s="1209" t="s">
        <v>2940</v>
      </c>
      <c r="J879" s="1206" t="s">
        <v>2337</v>
      </c>
      <c r="K879" s="1205">
        <v>2</v>
      </c>
      <c r="L879" s="1205">
        <v>6</v>
      </c>
      <c r="M879" s="1207">
        <v>13200</v>
      </c>
      <c r="N879" s="1205">
        <v>2</v>
      </c>
      <c r="O879" s="1205">
        <v>6</v>
      </c>
      <c r="P879" s="1207">
        <v>13200</v>
      </c>
    </row>
    <row r="880" spans="1:16" x14ac:dyDescent="0.2">
      <c r="A880" s="1204" t="s">
        <v>2937</v>
      </c>
      <c r="B880" s="1205" t="s">
        <v>2334</v>
      </c>
      <c r="C880" s="1205" t="s">
        <v>1444</v>
      </c>
      <c r="D880" s="1206" t="s">
        <v>613</v>
      </c>
      <c r="E880" s="1207">
        <v>1100</v>
      </c>
      <c r="F880" s="1208" t="s">
        <v>2943</v>
      </c>
      <c r="G880" s="1206" t="s">
        <v>2944</v>
      </c>
      <c r="H880" s="1206" t="s">
        <v>613</v>
      </c>
      <c r="I880" s="1209" t="s">
        <v>2940</v>
      </c>
      <c r="J880" s="1206" t="s">
        <v>613</v>
      </c>
      <c r="K880" s="1205">
        <v>1</v>
      </c>
      <c r="L880" s="1205">
        <v>6</v>
      </c>
      <c r="M880" s="1207">
        <v>10800</v>
      </c>
      <c r="N880" s="1205">
        <v>1</v>
      </c>
      <c r="O880" s="1205">
        <v>6</v>
      </c>
      <c r="P880" s="1207">
        <v>10800</v>
      </c>
    </row>
    <row r="881" spans="1:16" x14ac:dyDescent="0.2">
      <c r="A881" s="1204" t="s">
        <v>2937</v>
      </c>
      <c r="B881" s="1205" t="s">
        <v>2334</v>
      </c>
      <c r="C881" s="1205" t="s">
        <v>1444</v>
      </c>
      <c r="D881" s="1206" t="s">
        <v>1834</v>
      </c>
      <c r="E881" s="1207">
        <v>8000</v>
      </c>
      <c r="F881" s="1208" t="s">
        <v>2945</v>
      </c>
      <c r="G881" s="1206" t="s">
        <v>2946</v>
      </c>
      <c r="H881" s="1206" t="s">
        <v>1834</v>
      </c>
      <c r="I881" s="1209" t="s">
        <v>2940</v>
      </c>
      <c r="J881" s="1206" t="s">
        <v>1834</v>
      </c>
      <c r="K881" s="1205">
        <v>0</v>
      </c>
      <c r="L881" s="1205">
        <v>0</v>
      </c>
      <c r="M881" s="1207">
        <v>0</v>
      </c>
      <c r="N881" s="1205">
        <v>1</v>
      </c>
      <c r="O881" s="1205">
        <v>1</v>
      </c>
      <c r="P881" s="1207">
        <v>8000</v>
      </c>
    </row>
    <row r="882" spans="1:16" x14ac:dyDescent="0.2">
      <c r="A882" s="1204" t="s">
        <v>2937</v>
      </c>
      <c r="B882" s="1205" t="s">
        <v>2334</v>
      </c>
      <c r="C882" s="1205" t="s">
        <v>1444</v>
      </c>
      <c r="D882" s="1206" t="s">
        <v>1834</v>
      </c>
      <c r="E882" s="1207">
        <v>6000</v>
      </c>
      <c r="F882" s="1208" t="s">
        <v>2947</v>
      </c>
      <c r="G882" s="1206" t="s">
        <v>2948</v>
      </c>
      <c r="H882" s="1206" t="s">
        <v>1834</v>
      </c>
      <c r="I882" s="1209" t="s">
        <v>2940</v>
      </c>
      <c r="J882" s="1206" t="s">
        <v>1834</v>
      </c>
      <c r="K882" s="1205">
        <v>3</v>
      </c>
      <c r="L882" s="1205">
        <v>6</v>
      </c>
      <c r="M882" s="1207">
        <v>36000</v>
      </c>
      <c r="N882" s="1205">
        <v>3</v>
      </c>
      <c r="O882" s="1205">
        <v>6</v>
      </c>
      <c r="P882" s="1207">
        <v>36000</v>
      </c>
    </row>
    <row r="883" spans="1:16" x14ac:dyDescent="0.2">
      <c r="A883" s="1204" t="s">
        <v>2937</v>
      </c>
      <c r="B883" s="1205" t="s">
        <v>2334</v>
      </c>
      <c r="C883" s="1205" t="s">
        <v>1444</v>
      </c>
      <c r="D883" s="1206" t="s">
        <v>1651</v>
      </c>
      <c r="E883" s="1207">
        <v>1125</v>
      </c>
      <c r="F883" s="1208" t="s">
        <v>2949</v>
      </c>
      <c r="G883" s="1206" t="s">
        <v>2950</v>
      </c>
      <c r="H883" s="1206" t="s">
        <v>1651</v>
      </c>
      <c r="I883" s="1209" t="s">
        <v>2940</v>
      </c>
      <c r="J883" s="1206" t="s">
        <v>1651</v>
      </c>
      <c r="K883" s="1205">
        <v>0</v>
      </c>
      <c r="L883" s="1205">
        <v>0</v>
      </c>
      <c r="M883" s="1207">
        <v>0</v>
      </c>
      <c r="N883" s="1205">
        <v>1</v>
      </c>
      <c r="O883" s="1205">
        <v>6</v>
      </c>
      <c r="P883" s="1207">
        <v>6750</v>
      </c>
    </row>
    <row r="884" spans="1:16" x14ac:dyDescent="0.2">
      <c r="A884" s="1204" t="s">
        <v>2937</v>
      </c>
      <c r="B884" s="1205" t="s">
        <v>2334</v>
      </c>
      <c r="C884" s="1205" t="s">
        <v>1444</v>
      </c>
      <c r="D884" s="1206" t="s">
        <v>2337</v>
      </c>
      <c r="E884" s="1207">
        <v>2200</v>
      </c>
      <c r="F884" s="1208" t="s">
        <v>2951</v>
      </c>
      <c r="G884" s="1206" t="s">
        <v>2952</v>
      </c>
      <c r="H884" s="1206" t="s">
        <v>2337</v>
      </c>
      <c r="I884" s="1209" t="s">
        <v>2940</v>
      </c>
      <c r="J884" s="1206" t="s">
        <v>2337</v>
      </c>
      <c r="K884" s="1205">
        <v>2</v>
      </c>
      <c r="L884" s="1205">
        <v>6</v>
      </c>
      <c r="M884" s="1207">
        <v>13200</v>
      </c>
      <c r="N884" s="1205">
        <v>2</v>
      </c>
      <c r="O884" s="1205">
        <v>6</v>
      </c>
      <c r="P884" s="1207">
        <v>13200</v>
      </c>
    </row>
    <row r="885" spans="1:16" x14ac:dyDescent="0.2">
      <c r="A885" s="1204" t="s">
        <v>2937</v>
      </c>
      <c r="B885" s="1205" t="s">
        <v>2334</v>
      </c>
      <c r="C885" s="1205" t="s">
        <v>1444</v>
      </c>
      <c r="D885" s="1206" t="s">
        <v>2337</v>
      </c>
      <c r="E885" s="1207">
        <v>4000</v>
      </c>
      <c r="F885" s="1208" t="s">
        <v>2953</v>
      </c>
      <c r="G885" s="1206" t="s">
        <v>2954</v>
      </c>
      <c r="H885" s="1206" t="s">
        <v>2337</v>
      </c>
      <c r="I885" s="1209" t="s">
        <v>2940</v>
      </c>
      <c r="J885" s="1206" t="s">
        <v>2337</v>
      </c>
      <c r="K885" s="1205">
        <v>0</v>
      </c>
      <c r="L885" s="1205">
        <v>0</v>
      </c>
      <c r="M885" s="1207">
        <v>0</v>
      </c>
      <c r="N885" s="1205">
        <v>1</v>
      </c>
      <c r="O885" s="1205">
        <v>2</v>
      </c>
      <c r="P885" s="1207">
        <v>8000</v>
      </c>
    </row>
    <row r="886" spans="1:16" x14ac:dyDescent="0.2">
      <c r="A886" s="1204" t="s">
        <v>2937</v>
      </c>
      <c r="B886" s="1205" t="s">
        <v>2334</v>
      </c>
      <c r="C886" s="1205" t="s">
        <v>1444</v>
      </c>
      <c r="D886" s="1206" t="s">
        <v>1834</v>
      </c>
      <c r="E886" s="1207">
        <v>6000</v>
      </c>
      <c r="F886" s="1208" t="s">
        <v>2955</v>
      </c>
      <c r="G886" s="1206" t="s">
        <v>2956</v>
      </c>
      <c r="H886" s="1206" t="s">
        <v>1834</v>
      </c>
      <c r="I886" s="1209" t="s">
        <v>2940</v>
      </c>
      <c r="J886" s="1206" t="s">
        <v>1834</v>
      </c>
      <c r="K886" s="1205">
        <v>2</v>
      </c>
      <c r="L886" s="1205">
        <v>6</v>
      </c>
      <c r="M886" s="1207">
        <v>36000</v>
      </c>
      <c r="N886" s="1205">
        <v>2</v>
      </c>
      <c r="O886" s="1205">
        <v>6</v>
      </c>
      <c r="P886" s="1207">
        <v>36000</v>
      </c>
    </row>
    <row r="887" spans="1:16" x14ac:dyDescent="0.2">
      <c r="A887" s="1204" t="s">
        <v>2937</v>
      </c>
      <c r="B887" s="1205" t="s">
        <v>2334</v>
      </c>
      <c r="C887" s="1205" t="s">
        <v>1444</v>
      </c>
      <c r="D887" s="1206" t="s">
        <v>1651</v>
      </c>
      <c r="E887" s="1207">
        <v>3000</v>
      </c>
      <c r="F887" s="1208" t="s">
        <v>2957</v>
      </c>
      <c r="G887" s="1206" t="s">
        <v>2958</v>
      </c>
      <c r="H887" s="1206" t="s">
        <v>1651</v>
      </c>
      <c r="I887" s="1209" t="s">
        <v>2940</v>
      </c>
      <c r="J887" s="1206" t="s">
        <v>1651</v>
      </c>
      <c r="K887" s="1205">
        <v>0</v>
      </c>
      <c r="L887" s="1205">
        <v>0</v>
      </c>
      <c r="M887" s="1207">
        <v>0</v>
      </c>
      <c r="N887" s="1205">
        <v>1</v>
      </c>
      <c r="O887" s="1205">
        <v>3</v>
      </c>
      <c r="P887" s="1207">
        <v>9000</v>
      </c>
    </row>
    <row r="888" spans="1:16" x14ac:dyDescent="0.2">
      <c r="A888" s="1204" t="s">
        <v>2937</v>
      </c>
      <c r="B888" s="1205" t="s">
        <v>2334</v>
      </c>
      <c r="C888" s="1205" t="s">
        <v>1444</v>
      </c>
      <c r="D888" s="1206" t="s">
        <v>1651</v>
      </c>
      <c r="E888" s="1207">
        <v>3000</v>
      </c>
      <c r="F888" s="1208" t="s">
        <v>2959</v>
      </c>
      <c r="G888" s="1206" t="s">
        <v>2960</v>
      </c>
      <c r="H888" s="1206" t="s">
        <v>1651</v>
      </c>
      <c r="I888" s="1209" t="s">
        <v>2940</v>
      </c>
      <c r="J888" s="1206" t="s">
        <v>1651</v>
      </c>
      <c r="K888" s="1205">
        <v>0</v>
      </c>
      <c r="L888" s="1205">
        <v>0</v>
      </c>
      <c r="M888" s="1207">
        <v>0</v>
      </c>
      <c r="N888" s="1205">
        <v>1</v>
      </c>
      <c r="O888" s="1205">
        <v>3</v>
      </c>
      <c r="P888" s="1207">
        <v>9000</v>
      </c>
    </row>
    <row r="889" spans="1:16" x14ac:dyDescent="0.2">
      <c r="A889" s="1204" t="s">
        <v>2937</v>
      </c>
      <c r="B889" s="1205" t="s">
        <v>2334</v>
      </c>
      <c r="C889" s="1205" t="s">
        <v>1444</v>
      </c>
      <c r="D889" s="1206" t="s">
        <v>1656</v>
      </c>
      <c r="E889" s="1207">
        <v>2500</v>
      </c>
      <c r="F889" s="1208" t="s">
        <v>2961</v>
      </c>
      <c r="G889" s="1206" t="s">
        <v>2962</v>
      </c>
      <c r="H889" s="1206" t="s">
        <v>1656</v>
      </c>
      <c r="I889" s="1209" t="s">
        <v>2940</v>
      </c>
      <c r="J889" s="1206" t="s">
        <v>1656</v>
      </c>
      <c r="K889" s="1205">
        <v>0</v>
      </c>
      <c r="L889" s="1205">
        <v>0</v>
      </c>
      <c r="M889" s="1207">
        <v>0</v>
      </c>
      <c r="N889" s="1205">
        <v>1</v>
      </c>
      <c r="O889" s="1205">
        <v>3</v>
      </c>
      <c r="P889" s="1207">
        <v>7500</v>
      </c>
    </row>
    <row r="890" spans="1:16" x14ac:dyDescent="0.2">
      <c r="A890" s="1204" t="s">
        <v>2937</v>
      </c>
      <c r="B890" s="1205" t="s">
        <v>2334</v>
      </c>
      <c r="C890" s="1205" t="s">
        <v>1444</v>
      </c>
      <c r="D890" s="1206" t="s">
        <v>1834</v>
      </c>
      <c r="E890" s="1207">
        <v>6000</v>
      </c>
      <c r="F890" s="1208" t="s">
        <v>2963</v>
      </c>
      <c r="G890" s="1206" t="s">
        <v>2964</v>
      </c>
      <c r="H890" s="1206" t="s">
        <v>1834</v>
      </c>
      <c r="I890" s="1209" t="s">
        <v>2940</v>
      </c>
      <c r="J890" s="1206" t="s">
        <v>1834</v>
      </c>
      <c r="K890" s="1205">
        <v>2</v>
      </c>
      <c r="L890" s="1205">
        <v>6</v>
      </c>
      <c r="M890" s="1207">
        <v>36000</v>
      </c>
      <c r="N890" s="1205">
        <v>2</v>
      </c>
      <c r="O890" s="1205">
        <v>6</v>
      </c>
      <c r="P890" s="1207">
        <v>36000</v>
      </c>
    </row>
    <row r="891" spans="1:16" x14ac:dyDescent="0.2">
      <c r="A891" s="1204" t="s">
        <v>2937</v>
      </c>
      <c r="B891" s="1205" t="s">
        <v>2334</v>
      </c>
      <c r="C891" s="1205" t="s">
        <v>1444</v>
      </c>
      <c r="D891" s="1206" t="s">
        <v>2965</v>
      </c>
      <c r="E891" s="1207">
        <v>2000</v>
      </c>
      <c r="F891" s="1208" t="s">
        <v>2966</v>
      </c>
      <c r="G891" s="1206" t="s">
        <v>2967</v>
      </c>
      <c r="H891" s="1206" t="s">
        <v>2965</v>
      </c>
      <c r="I891" s="1209" t="s">
        <v>2940</v>
      </c>
      <c r="J891" s="1206" t="s">
        <v>2965</v>
      </c>
      <c r="K891" s="1205">
        <v>1</v>
      </c>
      <c r="L891" s="1205">
        <v>6</v>
      </c>
      <c r="M891" s="1207">
        <v>12000</v>
      </c>
      <c r="N891" s="1205">
        <v>1</v>
      </c>
      <c r="O891" s="1205">
        <v>6</v>
      </c>
      <c r="P891" s="1207">
        <v>12000</v>
      </c>
    </row>
    <row r="892" spans="1:16" x14ac:dyDescent="0.2">
      <c r="A892" s="1204" t="s">
        <v>2937</v>
      </c>
      <c r="B892" s="1205" t="s">
        <v>2334</v>
      </c>
      <c r="C892" s="1205" t="s">
        <v>1444</v>
      </c>
      <c r="D892" s="1206" t="s">
        <v>1834</v>
      </c>
      <c r="E892" s="1207">
        <v>6000</v>
      </c>
      <c r="F892" s="1208" t="s">
        <v>2968</v>
      </c>
      <c r="G892" s="1206" t="s">
        <v>2969</v>
      </c>
      <c r="H892" s="1206" t="s">
        <v>1834</v>
      </c>
      <c r="I892" s="1209" t="s">
        <v>2940</v>
      </c>
      <c r="J892" s="1206" t="s">
        <v>1834</v>
      </c>
      <c r="K892" s="1205">
        <v>2</v>
      </c>
      <c r="L892" s="1205">
        <v>6</v>
      </c>
      <c r="M892" s="1207">
        <v>36000</v>
      </c>
      <c r="N892" s="1205">
        <v>2</v>
      </c>
      <c r="O892" s="1205">
        <v>6</v>
      </c>
      <c r="P892" s="1207">
        <v>36000</v>
      </c>
    </row>
    <row r="893" spans="1:16" ht="12.75" x14ac:dyDescent="0.2">
      <c r="A893" s="1204" t="s">
        <v>2937</v>
      </c>
      <c r="B893" s="1205" t="s">
        <v>2334</v>
      </c>
      <c r="C893" s="1205" t="s">
        <v>1444</v>
      </c>
      <c r="D893" s="1206" t="s">
        <v>1834</v>
      </c>
      <c r="E893" s="1207">
        <v>6000</v>
      </c>
      <c r="F893" s="1208" t="s">
        <v>2970</v>
      </c>
      <c r="G893" s="1206" t="s">
        <v>2971</v>
      </c>
      <c r="H893" s="1206" t="s">
        <v>1834</v>
      </c>
      <c r="I893" s="1209" t="s">
        <v>2940</v>
      </c>
      <c r="J893" s="1206" t="s">
        <v>1834</v>
      </c>
      <c r="K893" s="1205">
        <v>2</v>
      </c>
      <c r="L893" s="1205">
        <v>6</v>
      </c>
      <c r="M893" s="1207">
        <v>36000</v>
      </c>
      <c r="N893" s="1210">
        <v>2</v>
      </c>
      <c r="O893" s="1210">
        <v>6</v>
      </c>
      <c r="P893" s="1211">
        <v>36000</v>
      </c>
    </row>
    <row r="894" spans="1:16" x14ac:dyDescent="0.2">
      <c r="A894" s="1204" t="s">
        <v>2937</v>
      </c>
      <c r="B894" s="1205" t="s">
        <v>2334</v>
      </c>
      <c r="C894" s="1205" t="s">
        <v>1444</v>
      </c>
      <c r="D894" s="1206" t="s">
        <v>1651</v>
      </c>
      <c r="E894" s="1207">
        <v>1200</v>
      </c>
      <c r="F894" s="1208" t="s">
        <v>2972</v>
      </c>
      <c r="G894" s="1206" t="s">
        <v>2973</v>
      </c>
      <c r="H894" s="1206" t="s">
        <v>1651</v>
      </c>
      <c r="I894" s="1209" t="s">
        <v>2940</v>
      </c>
      <c r="J894" s="1206" t="s">
        <v>1651</v>
      </c>
      <c r="K894" s="1205">
        <v>0</v>
      </c>
      <c r="L894" s="1205">
        <v>0</v>
      </c>
      <c r="M894" s="1207">
        <v>0</v>
      </c>
      <c r="N894" s="1205">
        <v>1</v>
      </c>
      <c r="O894" s="1205">
        <v>6</v>
      </c>
      <c r="P894" s="1207">
        <v>7200</v>
      </c>
    </row>
    <row r="895" spans="1:16" x14ac:dyDescent="0.2">
      <c r="A895" s="1204" t="s">
        <v>2937</v>
      </c>
      <c r="B895" s="1205" t="s">
        <v>2334</v>
      </c>
      <c r="C895" s="1205" t="s">
        <v>1444</v>
      </c>
      <c r="D895" s="1206" t="s">
        <v>1651</v>
      </c>
      <c r="E895" s="1207">
        <v>3000</v>
      </c>
      <c r="F895" s="1208" t="s">
        <v>2974</v>
      </c>
      <c r="G895" s="1206" t="s">
        <v>2975</v>
      </c>
      <c r="H895" s="1206" t="s">
        <v>1651</v>
      </c>
      <c r="I895" s="1209" t="s">
        <v>2940</v>
      </c>
      <c r="J895" s="1206" t="s">
        <v>1651</v>
      </c>
      <c r="K895" s="1205">
        <v>0</v>
      </c>
      <c r="L895" s="1205">
        <v>0</v>
      </c>
      <c r="M895" s="1207">
        <v>0</v>
      </c>
      <c r="N895" s="1205">
        <v>1</v>
      </c>
      <c r="O895" s="1205">
        <v>3</v>
      </c>
      <c r="P895" s="1207">
        <v>9000</v>
      </c>
    </row>
    <row r="896" spans="1:16" x14ac:dyDescent="0.2">
      <c r="A896" s="1204" t="s">
        <v>2937</v>
      </c>
      <c r="B896" s="1205" t="s">
        <v>2334</v>
      </c>
      <c r="C896" s="1205" t="s">
        <v>1444</v>
      </c>
      <c r="D896" s="1206" t="s">
        <v>1673</v>
      </c>
      <c r="E896" s="1207">
        <v>2200</v>
      </c>
      <c r="F896" s="1208" t="s">
        <v>2976</v>
      </c>
      <c r="G896" s="1206" t="s">
        <v>2977</v>
      </c>
      <c r="H896" s="1206" t="s">
        <v>1673</v>
      </c>
      <c r="I896" s="1209" t="s">
        <v>2940</v>
      </c>
      <c r="J896" s="1206" t="s">
        <v>1673</v>
      </c>
      <c r="K896" s="1205">
        <v>2</v>
      </c>
      <c r="L896" s="1205">
        <v>6</v>
      </c>
      <c r="M896" s="1207">
        <v>13200</v>
      </c>
      <c r="N896" s="1205">
        <v>2</v>
      </c>
      <c r="O896" s="1205">
        <v>6</v>
      </c>
      <c r="P896" s="1207">
        <v>13200</v>
      </c>
    </row>
    <row r="897" spans="1:16" x14ac:dyDescent="0.2">
      <c r="A897" s="1204" t="s">
        <v>2937</v>
      </c>
      <c r="B897" s="1205" t="s">
        <v>2334</v>
      </c>
      <c r="C897" s="1205" t="s">
        <v>1444</v>
      </c>
      <c r="D897" s="1206" t="s">
        <v>2337</v>
      </c>
      <c r="E897" s="1207">
        <v>2200</v>
      </c>
      <c r="F897" s="1208" t="s">
        <v>2978</v>
      </c>
      <c r="G897" s="1206" t="s">
        <v>2979</v>
      </c>
      <c r="H897" s="1206" t="s">
        <v>2337</v>
      </c>
      <c r="I897" s="1209" t="s">
        <v>2940</v>
      </c>
      <c r="J897" s="1206" t="s">
        <v>2337</v>
      </c>
      <c r="K897" s="1205">
        <v>4</v>
      </c>
      <c r="L897" s="1205">
        <v>6</v>
      </c>
      <c r="M897" s="1207">
        <v>13200</v>
      </c>
      <c r="N897" s="1205">
        <v>4</v>
      </c>
      <c r="O897" s="1205">
        <v>6</v>
      </c>
      <c r="P897" s="1207">
        <v>13200</v>
      </c>
    </row>
    <row r="898" spans="1:16" ht="12.75" x14ac:dyDescent="0.2">
      <c r="A898" s="1204" t="s">
        <v>2937</v>
      </c>
      <c r="B898" s="1205" t="s">
        <v>2334</v>
      </c>
      <c r="C898" s="1205" t="s">
        <v>1444</v>
      </c>
      <c r="D898" s="1206" t="s">
        <v>1651</v>
      </c>
      <c r="E898" s="1207">
        <v>1200</v>
      </c>
      <c r="F898" s="1208" t="s">
        <v>2980</v>
      </c>
      <c r="G898" s="1206" t="s">
        <v>2981</v>
      </c>
      <c r="H898" s="1206" t="s">
        <v>1651</v>
      </c>
      <c r="I898" s="1209" t="s">
        <v>2940</v>
      </c>
      <c r="J898" s="1206" t="s">
        <v>1651</v>
      </c>
      <c r="K898" s="1205">
        <v>2</v>
      </c>
      <c r="L898" s="1205">
        <v>6</v>
      </c>
      <c r="M898" s="1207">
        <v>7200</v>
      </c>
      <c r="N898" s="1210">
        <v>2</v>
      </c>
      <c r="O898" s="1210">
        <v>6</v>
      </c>
      <c r="P898" s="1211">
        <v>7200</v>
      </c>
    </row>
    <row r="899" spans="1:16" x14ac:dyDescent="0.2">
      <c r="A899" s="1204" t="s">
        <v>2937</v>
      </c>
      <c r="B899" s="1205" t="s">
        <v>2334</v>
      </c>
      <c r="C899" s="1205" t="s">
        <v>1444</v>
      </c>
      <c r="D899" s="1206" t="s">
        <v>2337</v>
      </c>
      <c r="E899" s="1207">
        <v>2200</v>
      </c>
      <c r="F899" s="1208" t="s">
        <v>2982</v>
      </c>
      <c r="G899" s="1206" t="s">
        <v>2983</v>
      </c>
      <c r="H899" s="1206" t="s">
        <v>2337</v>
      </c>
      <c r="I899" s="1209" t="s">
        <v>2940</v>
      </c>
      <c r="J899" s="1206" t="s">
        <v>2337</v>
      </c>
      <c r="K899" s="1205">
        <v>0</v>
      </c>
      <c r="L899" s="1205">
        <v>0</v>
      </c>
      <c r="M899" s="1207">
        <v>0</v>
      </c>
      <c r="N899" s="1205">
        <v>1</v>
      </c>
      <c r="O899" s="1205">
        <v>6</v>
      </c>
      <c r="P899" s="1207">
        <v>13200</v>
      </c>
    </row>
    <row r="900" spans="1:16" x14ac:dyDescent="0.2">
      <c r="A900" s="1204" t="s">
        <v>2937</v>
      </c>
      <c r="B900" s="1205" t="s">
        <v>2334</v>
      </c>
      <c r="C900" s="1205" t="s">
        <v>1444</v>
      </c>
      <c r="D900" s="1206" t="s">
        <v>1834</v>
      </c>
      <c r="E900" s="1207">
        <v>8000</v>
      </c>
      <c r="F900" s="1208" t="s">
        <v>2984</v>
      </c>
      <c r="G900" s="1206" t="s">
        <v>2985</v>
      </c>
      <c r="H900" s="1206" t="s">
        <v>1834</v>
      </c>
      <c r="I900" s="1209" t="s">
        <v>2940</v>
      </c>
      <c r="J900" s="1206" t="s">
        <v>1834</v>
      </c>
      <c r="K900" s="1205">
        <v>0</v>
      </c>
      <c r="L900" s="1205">
        <v>0</v>
      </c>
      <c r="M900" s="1207">
        <v>0</v>
      </c>
      <c r="N900" s="1205">
        <v>1</v>
      </c>
      <c r="O900" s="1205">
        <v>1</v>
      </c>
      <c r="P900" s="1207">
        <v>8000</v>
      </c>
    </row>
    <row r="901" spans="1:16" x14ac:dyDescent="0.2">
      <c r="A901" s="1204" t="s">
        <v>2937</v>
      </c>
      <c r="B901" s="1205" t="s">
        <v>2334</v>
      </c>
      <c r="C901" s="1205" t="s">
        <v>1444</v>
      </c>
      <c r="D901" s="1206" t="s">
        <v>1673</v>
      </c>
      <c r="E901" s="1207">
        <v>4000</v>
      </c>
      <c r="F901" s="1208" t="s">
        <v>2986</v>
      </c>
      <c r="G901" s="1206" t="s">
        <v>2987</v>
      </c>
      <c r="H901" s="1206" t="s">
        <v>1673</v>
      </c>
      <c r="I901" s="1209" t="s">
        <v>2940</v>
      </c>
      <c r="J901" s="1206" t="s">
        <v>1673</v>
      </c>
      <c r="K901" s="1205">
        <v>0</v>
      </c>
      <c r="L901" s="1205">
        <v>0</v>
      </c>
      <c r="M901" s="1207">
        <v>0</v>
      </c>
      <c r="N901" s="1205">
        <v>1</v>
      </c>
      <c r="O901" s="1205">
        <v>1</v>
      </c>
      <c r="P901" s="1207">
        <v>4000</v>
      </c>
    </row>
    <row r="902" spans="1:16" ht="12.75" x14ac:dyDescent="0.2">
      <c r="A902" s="1204" t="s">
        <v>2937</v>
      </c>
      <c r="B902" s="1205" t="s">
        <v>2334</v>
      </c>
      <c r="C902" s="1205" t="s">
        <v>1444</v>
      </c>
      <c r="D902" s="1206" t="s">
        <v>2337</v>
      </c>
      <c r="E902" s="1207">
        <v>2200</v>
      </c>
      <c r="F902" s="1208" t="s">
        <v>2988</v>
      </c>
      <c r="G902" s="1206" t="s">
        <v>2989</v>
      </c>
      <c r="H902" s="1206" t="s">
        <v>2337</v>
      </c>
      <c r="I902" s="1209" t="s">
        <v>2940</v>
      </c>
      <c r="J902" s="1206" t="s">
        <v>2337</v>
      </c>
      <c r="K902" s="1205">
        <v>2</v>
      </c>
      <c r="L902" s="1205">
        <v>6</v>
      </c>
      <c r="M902" s="1207">
        <v>13200</v>
      </c>
      <c r="N902" s="1210">
        <v>2</v>
      </c>
      <c r="O902" s="1210">
        <v>6</v>
      </c>
      <c r="P902" s="1211">
        <v>13200</v>
      </c>
    </row>
    <row r="903" spans="1:16" x14ac:dyDescent="0.2">
      <c r="A903" s="1204" t="s">
        <v>2937</v>
      </c>
      <c r="B903" s="1205" t="s">
        <v>2334</v>
      </c>
      <c r="C903" s="1205" t="s">
        <v>1444</v>
      </c>
      <c r="D903" s="1206" t="s">
        <v>2714</v>
      </c>
      <c r="E903" s="1207">
        <v>4500</v>
      </c>
      <c r="F903" s="1208" t="s">
        <v>2990</v>
      </c>
      <c r="G903" s="1206" t="s">
        <v>2991</v>
      </c>
      <c r="H903" s="1206" t="s">
        <v>2714</v>
      </c>
      <c r="I903" s="1209" t="s">
        <v>2940</v>
      </c>
      <c r="J903" s="1206" t="s">
        <v>2714</v>
      </c>
      <c r="K903" s="1205">
        <v>2</v>
      </c>
      <c r="L903" s="1205">
        <v>6</v>
      </c>
      <c r="M903" s="1207">
        <v>27000</v>
      </c>
      <c r="N903" s="1205">
        <v>2</v>
      </c>
      <c r="O903" s="1205">
        <v>6</v>
      </c>
      <c r="P903" s="1207">
        <v>27000</v>
      </c>
    </row>
    <row r="904" spans="1:16" x14ac:dyDescent="0.2">
      <c r="A904" s="1204" t="s">
        <v>2937</v>
      </c>
      <c r="B904" s="1205" t="s">
        <v>2334</v>
      </c>
      <c r="C904" s="1205" t="s">
        <v>1444</v>
      </c>
      <c r="D904" s="1206" t="s">
        <v>1651</v>
      </c>
      <c r="E904" s="1207">
        <v>1125</v>
      </c>
      <c r="F904" s="1208" t="s">
        <v>2992</v>
      </c>
      <c r="G904" s="1206" t="s">
        <v>2993</v>
      </c>
      <c r="H904" s="1206" t="s">
        <v>1651</v>
      </c>
      <c r="I904" s="1209" t="s">
        <v>2940</v>
      </c>
      <c r="J904" s="1206" t="s">
        <v>1651</v>
      </c>
      <c r="K904" s="1205">
        <v>2</v>
      </c>
      <c r="L904" s="1205">
        <v>6</v>
      </c>
      <c r="M904" s="1207">
        <v>6750</v>
      </c>
      <c r="N904" s="1205">
        <v>2</v>
      </c>
      <c r="O904" s="1205">
        <v>6</v>
      </c>
      <c r="P904" s="1207">
        <v>6750</v>
      </c>
    </row>
    <row r="905" spans="1:16" x14ac:dyDescent="0.2">
      <c r="A905" s="1204" t="s">
        <v>2937</v>
      </c>
      <c r="B905" s="1205" t="s">
        <v>2334</v>
      </c>
      <c r="C905" s="1205" t="s">
        <v>1444</v>
      </c>
      <c r="D905" s="1206" t="s">
        <v>2430</v>
      </c>
      <c r="E905" s="1207">
        <v>1060</v>
      </c>
      <c r="F905" s="1208" t="s">
        <v>2994</v>
      </c>
      <c r="G905" s="1206" t="s">
        <v>2995</v>
      </c>
      <c r="H905" s="1206" t="s">
        <v>2430</v>
      </c>
      <c r="I905" s="1209" t="s">
        <v>2940</v>
      </c>
      <c r="J905" s="1206" t="s">
        <v>2430</v>
      </c>
      <c r="K905" s="1205">
        <v>2</v>
      </c>
      <c r="L905" s="1205">
        <v>6</v>
      </c>
      <c r="M905" s="1207">
        <v>6360</v>
      </c>
      <c r="N905" s="1205">
        <v>2</v>
      </c>
      <c r="O905" s="1205">
        <v>6</v>
      </c>
      <c r="P905" s="1207">
        <v>6360</v>
      </c>
    </row>
    <row r="906" spans="1:16" x14ac:dyDescent="0.2">
      <c r="A906" s="1204" t="s">
        <v>2937</v>
      </c>
      <c r="B906" s="1205" t="s">
        <v>2334</v>
      </c>
      <c r="C906" s="1205" t="s">
        <v>1444</v>
      </c>
      <c r="D906" s="1206" t="s">
        <v>1666</v>
      </c>
      <c r="E906" s="1207">
        <v>2200</v>
      </c>
      <c r="F906" s="1208" t="s">
        <v>2996</v>
      </c>
      <c r="G906" s="1206" t="s">
        <v>2997</v>
      </c>
      <c r="H906" s="1206" t="s">
        <v>1666</v>
      </c>
      <c r="I906" s="1209" t="s">
        <v>2940</v>
      </c>
      <c r="J906" s="1206" t="s">
        <v>1666</v>
      </c>
      <c r="K906" s="1205">
        <v>2</v>
      </c>
      <c r="L906" s="1205">
        <v>6</v>
      </c>
      <c r="M906" s="1207">
        <v>13200</v>
      </c>
      <c r="N906" s="1205">
        <v>2</v>
      </c>
      <c r="O906" s="1205">
        <v>6</v>
      </c>
      <c r="P906" s="1207">
        <v>13200</v>
      </c>
    </row>
    <row r="907" spans="1:16" x14ac:dyDescent="0.2">
      <c r="A907" s="1204" t="s">
        <v>2937</v>
      </c>
      <c r="B907" s="1205" t="s">
        <v>2334</v>
      </c>
      <c r="C907" s="1205" t="s">
        <v>1444</v>
      </c>
      <c r="D907" s="1206" t="s">
        <v>2430</v>
      </c>
      <c r="E907" s="1207">
        <v>1060</v>
      </c>
      <c r="F907" s="1208" t="s">
        <v>2998</v>
      </c>
      <c r="G907" s="1206" t="s">
        <v>2999</v>
      </c>
      <c r="H907" s="1206" t="s">
        <v>2430</v>
      </c>
      <c r="I907" s="1209" t="s">
        <v>2940</v>
      </c>
      <c r="J907" s="1206" t="s">
        <v>2430</v>
      </c>
      <c r="K907" s="1205">
        <v>0</v>
      </c>
      <c r="L907" s="1205">
        <v>0</v>
      </c>
      <c r="M907" s="1207">
        <v>0</v>
      </c>
      <c r="N907" s="1205">
        <v>1</v>
      </c>
      <c r="O907" s="1205">
        <v>6</v>
      </c>
      <c r="P907" s="1207">
        <v>6360</v>
      </c>
    </row>
    <row r="908" spans="1:16" x14ac:dyDescent="0.2">
      <c r="A908" s="1204" t="s">
        <v>2937</v>
      </c>
      <c r="B908" s="1205" t="s">
        <v>2334</v>
      </c>
      <c r="C908" s="1205" t="s">
        <v>1444</v>
      </c>
      <c r="D908" s="1206" t="s">
        <v>3000</v>
      </c>
      <c r="E908" s="1207">
        <v>1100</v>
      </c>
      <c r="F908" s="1208" t="s">
        <v>3001</v>
      </c>
      <c r="G908" s="1206" t="s">
        <v>3002</v>
      </c>
      <c r="H908" s="1206" t="s">
        <v>3000</v>
      </c>
      <c r="I908" s="1209" t="s">
        <v>2940</v>
      </c>
      <c r="J908" s="1206" t="s">
        <v>3000</v>
      </c>
      <c r="K908" s="1205">
        <v>10</v>
      </c>
      <c r="L908" s="1205">
        <v>6</v>
      </c>
      <c r="M908" s="1207">
        <v>6600</v>
      </c>
      <c r="N908" s="1205">
        <v>10</v>
      </c>
      <c r="O908" s="1205">
        <v>6</v>
      </c>
      <c r="P908" s="1207">
        <v>6600</v>
      </c>
    </row>
    <row r="909" spans="1:16" x14ac:dyDescent="0.2">
      <c r="A909" s="1204" t="s">
        <v>2937</v>
      </c>
      <c r="B909" s="1205" t="s">
        <v>2334</v>
      </c>
      <c r="C909" s="1205" t="s">
        <v>1444</v>
      </c>
      <c r="D909" s="1206" t="s">
        <v>1716</v>
      </c>
      <c r="E909" s="1207">
        <v>2500</v>
      </c>
      <c r="F909" s="1208" t="s">
        <v>3003</v>
      </c>
      <c r="G909" s="1206" t="s">
        <v>3004</v>
      </c>
      <c r="H909" s="1206" t="s">
        <v>1716</v>
      </c>
      <c r="I909" s="1209" t="s">
        <v>2940</v>
      </c>
      <c r="J909" s="1206" t="s">
        <v>1716</v>
      </c>
      <c r="K909" s="1205">
        <v>0</v>
      </c>
      <c r="L909" s="1205">
        <v>0</v>
      </c>
      <c r="M909" s="1207">
        <v>0</v>
      </c>
      <c r="N909" s="1205">
        <v>1</v>
      </c>
      <c r="O909" s="1205">
        <v>1</v>
      </c>
      <c r="P909" s="1207">
        <v>2500</v>
      </c>
    </row>
    <row r="910" spans="1:16" x14ac:dyDescent="0.2">
      <c r="A910" s="1204" t="s">
        <v>2937</v>
      </c>
      <c r="B910" s="1205" t="s">
        <v>2334</v>
      </c>
      <c r="C910" s="1205" t="s">
        <v>1444</v>
      </c>
      <c r="D910" s="1206" t="s">
        <v>1834</v>
      </c>
      <c r="E910" s="1207">
        <v>6000</v>
      </c>
      <c r="F910" s="1208" t="s">
        <v>3005</v>
      </c>
      <c r="G910" s="1206" t="s">
        <v>3006</v>
      </c>
      <c r="H910" s="1206" t="s">
        <v>1834</v>
      </c>
      <c r="I910" s="1209" t="s">
        <v>2940</v>
      </c>
      <c r="J910" s="1206" t="s">
        <v>1834</v>
      </c>
      <c r="K910" s="1205">
        <v>2</v>
      </c>
      <c r="L910" s="1205">
        <v>6</v>
      </c>
      <c r="M910" s="1207">
        <v>36000</v>
      </c>
      <c r="N910" s="1205">
        <v>2</v>
      </c>
      <c r="O910" s="1205">
        <v>6</v>
      </c>
      <c r="P910" s="1207">
        <v>36000</v>
      </c>
    </row>
    <row r="911" spans="1:16" x14ac:dyDescent="0.2">
      <c r="A911" s="1204" t="s">
        <v>2937</v>
      </c>
      <c r="B911" s="1205" t="s">
        <v>2334</v>
      </c>
      <c r="C911" s="1205" t="s">
        <v>1444</v>
      </c>
      <c r="D911" s="1206" t="s">
        <v>2337</v>
      </c>
      <c r="E911" s="1207">
        <v>4000</v>
      </c>
      <c r="F911" s="1208" t="s">
        <v>3007</v>
      </c>
      <c r="G911" s="1206" t="s">
        <v>3008</v>
      </c>
      <c r="H911" s="1206" t="s">
        <v>2337</v>
      </c>
      <c r="I911" s="1209" t="s">
        <v>2940</v>
      </c>
      <c r="J911" s="1206" t="s">
        <v>2337</v>
      </c>
      <c r="K911" s="1205">
        <v>0</v>
      </c>
      <c r="L911" s="1205">
        <v>0</v>
      </c>
      <c r="M911" s="1207">
        <v>0</v>
      </c>
      <c r="N911" s="1205">
        <v>1</v>
      </c>
      <c r="O911" s="1205">
        <v>1</v>
      </c>
      <c r="P911" s="1207">
        <v>4000</v>
      </c>
    </row>
    <row r="912" spans="1:16" x14ac:dyDescent="0.2">
      <c r="A912" s="1204" t="s">
        <v>2937</v>
      </c>
      <c r="B912" s="1205" t="s">
        <v>2334</v>
      </c>
      <c r="C912" s="1205" t="s">
        <v>1444</v>
      </c>
      <c r="D912" s="1206" t="s">
        <v>1651</v>
      </c>
      <c r="E912" s="1207">
        <v>1125</v>
      </c>
      <c r="F912" s="1208" t="s">
        <v>3009</v>
      </c>
      <c r="G912" s="1206" t="s">
        <v>3010</v>
      </c>
      <c r="H912" s="1206" t="s">
        <v>1651</v>
      </c>
      <c r="I912" s="1209" t="s">
        <v>2940</v>
      </c>
      <c r="J912" s="1206" t="s">
        <v>1651</v>
      </c>
      <c r="K912" s="1205">
        <v>2</v>
      </c>
      <c r="L912" s="1205">
        <v>6</v>
      </c>
      <c r="M912" s="1207">
        <v>6750</v>
      </c>
      <c r="N912" s="1205">
        <v>2</v>
      </c>
      <c r="O912" s="1205">
        <v>6</v>
      </c>
      <c r="P912" s="1207">
        <v>6750</v>
      </c>
    </row>
    <row r="913" spans="1:16" x14ac:dyDescent="0.2">
      <c r="A913" s="1204" t="s">
        <v>2937</v>
      </c>
      <c r="B913" s="1205" t="s">
        <v>2334</v>
      </c>
      <c r="C913" s="1205" t="s">
        <v>1444</v>
      </c>
      <c r="D913" s="1206" t="s">
        <v>613</v>
      </c>
      <c r="E913" s="1207">
        <v>1060</v>
      </c>
      <c r="F913" s="1208" t="s">
        <v>3011</v>
      </c>
      <c r="G913" s="1206" t="s">
        <v>3012</v>
      </c>
      <c r="H913" s="1206" t="s">
        <v>613</v>
      </c>
      <c r="I913" s="1209" t="s">
        <v>2940</v>
      </c>
      <c r="J913" s="1206" t="s">
        <v>613</v>
      </c>
      <c r="K913" s="1205">
        <v>10</v>
      </c>
      <c r="L913" s="1205">
        <v>6</v>
      </c>
      <c r="M913" s="1207">
        <v>6360</v>
      </c>
      <c r="N913" s="1205">
        <v>10</v>
      </c>
      <c r="O913" s="1205">
        <v>6</v>
      </c>
      <c r="P913" s="1207">
        <v>6360</v>
      </c>
    </row>
    <row r="914" spans="1:16" x14ac:dyDescent="0.2">
      <c r="A914" s="1204" t="s">
        <v>2937</v>
      </c>
      <c r="B914" s="1205" t="s">
        <v>2334</v>
      </c>
      <c r="C914" s="1205" t="s">
        <v>1444</v>
      </c>
      <c r="D914" s="1206" t="s">
        <v>1834</v>
      </c>
      <c r="E914" s="1207">
        <v>8000</v>
      </c>
      <c r="F914" s="1208" t="s">
        <v>3013</v>
      </c>
      <c r="G914" s="1206" t="s">
        <v>3014</v>
      </c>
      <c r="H914" s="1206" t="s">
        <v>1834</v>
      </c>
      <c r="I914" s="1209" t="s">
        <v>2940</v>
      </c>
      <c r="J914" s="1206" t="s">
        <v>1834</v>
      </c>
      <c r="K914" s="1205">
        <v>0</v>
      </c>
      <c r="L914" s="1205">
        <v>0</v>
      </c>
      <c r="M914" s="1207">
        <v>0</v>
      </c>
      <c r="N914" s="1205">
        <v>1</v>
      </c>
      <c r="O914" s="1205">
        <v>1</v>
      </c>
      <c r="P914" s="1207">
        <v>8000</v>
      </c>
    </row>
    <row r="915" spans="1:16" x14ac:dyDescent="0.2">
      <c r="A915" s="1204" t="s">
        <v>2937</v>
      </c>
      <c r="B915" s="1205" t="s">
        <v>2334</v>
      </c>
      <c r="C915" s="1205" t="s">
        <v>1444</v>
      </c>
      <c r="D915" s="1206" t="s">
        <v>1651</v>
      </c>
      <c r="E915" s="1207">
        <v>1200</v>
      </c>
      <c r="F915" s="1208" t="s">
        <v>3015</v>
      </c>
      <c r="G915" s="1206" t="s">
        <v>3016</v>
      </c>
      <c r="H915" s="1206" t="s">
        <v>1651</v>
      </c>
      <c r="I915" s="1209" t="s">
        <v>2940</v>
      </c>
      <c r="J915" s="1206" t="s">
        <v>1651</v>
      </c>
      <c r="K915" s="1205">
        <v>1</v>
      </c>
      <c r="L915" s="1205">
        <v>6</v>
      </c>
      <c r="M915" s="1207">
        <v>7200</v>
      </c>
      <c r="N915" s="1205">
        <v>1</v>
      </c>
      <c r="O915" s="1205"/>
      <c r="P915" s="1207">
        <v>0</v>
      </c>
    </row>
    <row r="916" spans="1:16" x14ac:dyDescent="0.2">
      <c r="A916" s="1204" t="s">
        <v>2937</v>
      </c>
      <c r="B916" s="1205" t="s">
        <v>2334</v>
      </c>
      <c r="C916" s="1205" t="s">
        <v>1444</v>
      </c>
      <c r="D916" s="1206" t="s">
        <v>2337</v>
      </c>
      <c r="E916" s="1207">
        <v>2200</v>
      </c>
      <c r="F916" s="1208" t="s">
        <v>3017</v>
      </c>
      <c r="G916" s="1206" t="s">
        <v>3018</v>
      </c>
      <c r="H916" s="1206" t="s">
        <v>2337</v>
      </c>
      <c r="I916" s="1209" t="s">
        <v>2940</v>
      </c>
      <c r="J916" s="1206" t="s">
        <v>2337</v>
      </c>
      <c r="K916" s="1205">
        <v>1</v>
      </c>
      <c r="L916" s="1205">
        <v>6</v>
      </c>
      <c r="M916" s="1207">
        <v>13200</v>
      </c>
      <c r="N916" s="1205">
        <v>1</v>
      </c>
      <c r="O916" s="1205"/>
      <c r="P916" s="1207">
        <v>0</v>
      </c>
    </row>
    <row r="917" spans="1:16" x14ac:dyDescent="0.2">
      <c r="A917" s="1204" t="s">
        <v>2937</v>
      </c>
      <c r="B917" s="1205" t="s">
        <v>2334</v>
      </c>
      <c r="C917" s="1205" t="s">
        <v>1444</v>
      </c>
      <c r="D917" s="1206" t="s">
        <v>1744</v>
      </c>
      <c r="E917" s="1207">
        <v>2200</v>
      </c>
      <c r="F917" s="1208" t="s">
        <v>3019</v>
      </c>
      <c r="G917" s="1206" t="s">
        <v>3020</v>
      </c>
      <c r="H917" s="1206" t="s">
        <v>1744</v>
      </c>
      <c r="I917" s="1209" t="s">
        <v>2940</v>
      </c>
      <c r="J917" s="1206" t="s">
        <v>1744</v>
      </c>
      <c r="K917" s="1205">
        <v>2</v>
      </c>
      <c r="L917" s="1205">
        <v>1</v>
      </c>
      <c r="M917" s="1207">
        <v>2200</v>
      </c>
      <c r="N917" s="1205">
        <v>2</v>
      </c>
      <c r="O917" s="1205">
        <v>1</v>
      </c>
      <c r="P917" s="1207">
        <v>2200</v>
      </c>
    </row>
    <row r="918" spans="1:16" x14ac:dyDescent="0.2">
      <c r="A918" s="1204" t="s">
        <v>2937</v>
      </c>
      <c r="B918" s="1205" t="s">
        <v>2334</v>
      </c>
      <c r="C918" s="1205" t="s">
        <v>1444</v>
      </c>
      <c r="D918" s="1206" t="s">
        <v>1651</v>
      </c>
      <c r="E918" s="1207">
        <v>1200</v>
      </c>
      <c r="F918" s="1208" t="s">
        <v>3021</v>
      </c>
      <c r="G918" s="1206" t="s">
        <v>3022</v>
      </c>
      <c r="H918" s="1206" t="s">
        <v>1651</v>
      </c>
      <c r="I918" s="1209" t="s">
        <v>2940</v>
      </c>
      <c r="J918" s="1206" t="s">
        <v>1651</v>
      </c>
      <c r="K918" s="1205">
        <v>1</v>
      </c>
      <c r="L918" s="1205">
        <v>6</v>
      </c>
      <c r="M918" s="1207">
        <v>7200</v>
      </c>
      <c r="N918" s="1205">
        <v>1</v>
      </c>
      <c r="O918" s="1205"/>
      <c r="P918" s="1207">
        <v>0</v>
      </c>
    </row>
    <row r="919" spans="1:16" x14ac:dyDescent="0.2">
      <c r="A919" s="1204" t="s">
        <v>2937</v>
      </c>
      <c r="B919" s="1205" t="s">
        <v>2334</v>
      </c>
      <c r="C919" s="1205" t="s">
        <v>1444</v>
      </c>
      <c r="D919" s="1206" t="s">
        <v>1666</v>
      </c>
      <c r="E919" s="1207">
        <v>4000</v>
      </c>
      <c r="F919" s="1208" t="s">
        <v>3023</v>
      </c>
      <c r="G919" s="1206" t="s">
        <v>3024</v>
      </c>
      <c r="H919" s="1206" t="s">
        <v>1666</v>
      </c>
      <c r="I919" s="1209" t="s">
        <v>2940</v>
      </c>
      <c r="J919" s="1206" t="s">
        <v>1666</v>
      </c>
      <c r="K919" s="1205">
        <v>0</v>
      </c>
      <c r="L919" s="1205">
        <v>0</v>
      </c>
      <c r="M919" s="1207">
        <v>0</v>
      </c>
      <c r="N919" s="1205">
        <v>1</v>
      </c>
      <c r="O919" s="1205">
        <v>1</v>
      </c>
      <c r="P919" s="1207">
        <v>4000</v>
      </c>
    </row>
    <row r="920" spans="1:16" x14ac:dyDescent="0.2">
      <c r="A920" s="1204" t="s">
        <v>2937</v>
      </c>
      <c r="B920" s="1205" t="s">
        <v>2334</v>
      </c>
      <c r="C920" s="1205" t="s">
        <v>1444</v>
      </c>
      <c r="D920" s="1206" t="s">
        <v>904</v>
      </c>
      <c r="E920" s="1207">
        <v>1700</v>
      </c>
      <c r="F920" s="1208" t="s">
        <v>3025</v>
      </c>
      <c r="G920" s="1206" t="s">
        <v>3026</v>
      </c>
      <c r="H920" s="1206" t="s">
        <v>904</v>
      </c>
      <c r="I920" s="1209" t="s">
        <v>2940</v>
      </c>
      <c r="J920" s="1206" t="s">
        <v>904</v>
      </c>
      <c r="K920" s="1205">
        <v>0</v>
      </c>
      <c r="L920" s="1205">
        <v>0</v>
      </c>
      <c r="M920" s="1207">
        <v>0</v>
      </c>
      <c r="N920" s="1205">
        <v>1</v>
      </c>
      <c r="O920" s="1205">
        <v>6</v>
      </c>
      <c r="P920" s="1207">
        <v>10200</v>
      </c>
    </row>
    <row r="921" spans="1:16" x14ac:dyDescent="0.2">
      <c r="A921" s="1204" t="s">
        <v>2937</v>
      </c>
      <c r="B921" s="1205" t="s">
        <v>2334</v>
      </c>
      <c r="C921" s="1205" t="s">
        <v>1444</v>
      </c>
      <c r="D921" s="1206" t="s">
        <v>2565</v>
      </c>
      <c r="E921" s="1207">
        <v>1125</v>
      </c>
      <c r="F921" s="1208" t="s">
        <v>3027</v>
      </c>
      <c r="G921" s="1206" t="s">
        <v>3028</v>
      </c>
      <c r="H921" s="1206" t="s">
        <v>2565</v>
      </c>
      <c r="I921" s="1209" t="s">
        <v>2940</v>
      </c>
      <c r="J921" s="1206" t="s">
        <v>2565</v>
      </c>
      <c r="K921" s="1205">
        <v>7</v>
      </c>
      <c r="L921" s="1205">
        <v>6</v>
      </c>
      <c r="M921" s="1207">
        <v>6750</v>
      </c>
      <c r="N921" s="1205">
        <v>7</v>
      </c>
      <c r="O921" s="1205">
        <v>6</v>
      </c>
      <c r="P921" s="1207">
        <v>6750</v>
      </c>
    </row>
    <row r="922" spans="1:16" x14ac:dyDescent="0.2">
      <c r="A922" s="1204" t="s">
        <v>2937</v>
      </c>
      <c r="B922" s="1205" t="s">
        <v>2334</v>
      </c>
      <c r="C922" s="1205" t="s">
        <v>1444</v>
      </c>
      <c r="D922" s="1206" t="s">
        <v>1834</v>
      </c>
      <c r="E922" s="1207">
        <v>8000</v>
      </c>
      <c r="F922" s="1208" t="s">
        <v>3029</v>
      </c>
      <c r="G922" s="1206" t="s">
        <v>3030</v>
      </c>
      <c r="H922" s="1206" t="s">
        <v>1834</v>
      </c>
      <c r="I922" s="1209" t="s">
        <v>2940</v>
      </c>
      <c r="J922" s="1206" t="s">
        <v>1834</v>
      </c>
      <c r="K922" s="1205">
        <v>0</v>
      </c>
      <c r="L922" s="1205">
        <v>0</v>
      </c>
      <c r="M922" s="1207">
        <v>0</v>
      </c>
      <c r="N922" s="1205">
        <v>1</v>
      </c>
      <c r="O922" s="1205">
        <v>1</v>
      </c>
      <c r="P922" s="1207">
        <v>8000</v>
      </c>
    </row>
    <row r="923" spans="1:16" x14ac:dyDescent="0.2">
      <c r="A923" s="1204" t="s">
        <v>2937</v>
      </c>
      <c r="B923" s="1205" t="s">
        <v>2334</v>
      </c>
      <c r="C923" s="1205" t="s">
        <v>1444</v>
      </c>
      <c r="D923" s="1206" t="s">
        <v>2337</v>
      </c>
      <c r="E923" s="1207">
        <v>2200</v>
      </c>
      <c r="F923" s="1208" t="s">
        <v>3031</v>
      </c>
      <c r="G923" s="1206" t="s">
        <v>3032</v>
      </c>
      <c r="H923" s="1206" t="s">
        <v>2337</v>
      </c>
      <c r="I923" s="1209" t="s">
        <v>2940</v>
      </c>
      <c r="J923" s="1206" t="s">
        <v>2337</v>
      </c>
      <c r="K923" s="1205">
        <v>3</v>
      </c>
      <c r="L923" s="1205">
        <v>6</v>
      </c>
      <c r="M923" s="1207">
        <v>13200</v>
      </c>
      <c r="N923" s="1205">
        <v>3</v>
      </c>
      <c r="O923" s="1205">
        <v>6</v>
      </c>
      <c r="P923" s="1207">
        <v>13200</v>
      </c>
    </row>
    <row r="924" spans="1:16" x14ac:dyDescent="0.2">
      <c r="A924" s="1204" t="s">
        <v>2937</v>
      </c>
      <c r="B924" s="1205" t="s">
        <v>2334</v>
      </c>
      <c r="C924" s="1205" t="s">
        <v>1444</v>
      </c>
      <c r="D924" s="1206" t="s">
        <v>1834</v>
      </c>
      <c r="E924" s="1207">
        <v>6000</v>
      </c>
      <c r="F924" s="1208" t="s">
        <v>3033</v>
      </c>
      <c r="G924" s="1206" t="s">
        <v>3034</v>
      </c>
      <c r="H924" s="1206" t="s">
        <v>1834</v>
      </c>
      <c r="I924" s="1209" t="s">
        <v>2940</v>
      </c>
      <c r="J924" s="1206" t="s">
        <v>1834</v>
      </c>
      <c r="K924" s="1205">
        <v>2</v>
      </c>
      <c r="L924" s="1205">
        <v>6</v>
      </c>
      <c r="M924" s="1207">
        <v>36000</v>
      </c>
      <c r="N924" s="1205">
        <v>2</v>
      </c>
      <c r="O924" s="1205">
        <v>6</v>
      </c>
      <c r="P924" s="1207">
        <v>36000</v>
      </c>
    </row>
    <row r="925" spans="1:16" x14ac:dyDescent="0.2">
      <c r="A925" s="1204" t="s">
        <v>2937</v>
      </c>
      <c r="B925" s="1205" t="s">
        <v>2334</v>
      </c>
      <c r="C925" s="1205" t="s">
        <v>1444</v>
      </c>
      <c r="D925" s="1206" t="s">
        <v>1651</v>
      </c>
      <c r="E925" s="1207">
        <v>1200</v>
      </c>
      <c r="F925" s="1208" t="s">
        <v>3035</v>
      </c>
      <c r="G925" s="1206" t="s">
        <v>3036</v>
      </c>
      <c r="H925" s="1206" t="s">
        <v>1651</v>
      </c>
      <c r="I925" s="1209" t="s">
        <v>2940</v>
      </c>
      <c r="J925" s="1206" t="s">
        <v>1651</v>
      </c>
      <c r="K925" s="1205">
        <v>1</v>
      </c>
      <c r="L925" s="1205">
        <v>6</v>
      </c>
      <c r="M925" s="1207">
        <v>7200</v>
      </c>
      <c r="N925" s="1205">
        <v>1</v>
      </c>
      <c r="O925" s="1205"/>
      <c r="P925" s="1207">
        <v>0</v>
      </c>
    </row>
    <row r="926" spans="1:16" x14ac:dyDescent="0.2">
      <c r="A926" s="1204" t="s">
        <v>2937</v>
      </c>
      <c r="B926" s="1205" t="s">
        <v>2334</v>
      </c>
      <c r="C926" s="1205" t="s">
        <v>1444</v>
      </c>
      <c r="D926" s="1206" t="s">
        <v>1834</v>
      </c>
      <c r="E926" s="1207">
        <v>6000</v>
      </c>
      <c r="F926" s="1208" t="s">
        <v>3037</v>
      </c>
      <c r="G926" s="1206" t="s">
        <v>3038</v>
      </c>
      <c r="H926" s="1206" t="s">
        <v>1834</v>
      </c>
      <c r="I926" s="1209" t="s">
        <v>2940</v>
      </c>
      <c r="J926" s="1206" t="s">
        <v>1834</v>
      </c>
      <c r="K926" s="1205">
        <v>0</v>
      </c>
      <c r="L926" s="1205">
        <v>0</v>
      </c>
      <c r="M926" s="1207">
        <v>0</v>
      </c>
      <c r="N926" s="1205">
        <v>1</v>
      </c>
      <c r="O926" s="1205">
        <v>6</v>
      </c>
      <c r="P926" s="1207">
        <v>36000</v>
      </c>
    </row>
    <row r="927" spans="1:16" x14ac:dyDescent="0.2">
      <c r="A927" s="1204" t="s">
        <v>2937</v>
      </c>
      <c r="B927" s="1205" t="s">
        <v>2334</v>
      </c>
      <c r="C927" s="1205" t="s">
        <v>1444</v>
      </c>
      <c r="D927" s="1206" t="s">
        <v>1651</v>
      </c>
      <c r="E927" s="1207">
        <v>1125</v>
      </c>
      <c r="F927" s="1208" t="s">
        <v>3039</v>
      </c>
      <c r="G927" s="1206" t="s">
        <v>3040</v>
      </c>
      <c r="H927" s="1206" t="s">
        <v>1651</v>
      </c>
      <c r="I927" s="1209" t="s">
        <v>2940</v>
      </c>
      <c r="J927" s="1206" t="s">
        <v>1651</v>
      </c>
      <c r="K927" s="1205">
        <v>0</v>
      </c>
      <c r="L927" s="1205">
        <v>0</v>
      </c>
      <c r="M927" s="1207">
        <v>0</v>
      </c>
      <c r="N927" s="1205">
        <v>1</v>
      </c>
      <c r="O927" s="1205">
        <v>6</v>
      </c>
      <c r="P927" s="1207">
        <v>6750</v>
      </c>
    </row>
    <row r="928" spans="1:16" x14ac:dyDescent="0.2">
      <c r="A928" s="1204" t="s">
        <v>2937</v>
      </c>
      <c r="B928" s="1205" t="s">
        <v>2334</v>
      </c>
      <c r="C928" s="1205" t="s">
        <v>1444</v>
      </c>
      <c r="D928" s="1206" t="s">
        <v>2337</v>
      </c>
      <c r="E928" s="1207">
        <v>2200</v>
      </c>
      <c r="F928" s="1208" t="s">
        <v>3041</v>
      </c>
      <c r="G928" s="1206" t="s">
        <v>3042</v>
      </c>
      <c r="H928" s="1206" t="s">
        <v>2337</v>
      </c>
      <c r="I928" s="1209" t="s">
        <v>2940</v>
      </c>
      <c r="J928" s="1206" t="s">
        <v>2337</v>
      </c>
      <c r="K928" s="1205">
        <v>4</v>
      </c>
      <c r="L928" s="1205">
        <v>6</v>
      </c>
      <c r="M928" s="1207">
        <v>13200</v>
      </c>
      <c r="N928" s="1205">
        <v>4</v>
      </c>
      <c r="O928" s="1205">
        <v>6</v>
      </c>
      <c r="P928" s="1207">
        <v>13200</v>
      </c>
    </row>
    <row r="929" spans="1:16" x14ac:dyDescent="0.2">
      <c r="A929" s="1204" t="s">
        <v>2937</v>
      </c>
      <c r="B929" s="1205" t="s">
        <v>2334</v>
      </c>
      <c r="C929" s="1205" t="s">
        <v>1444</v>
      </c>
      <c r="D929" s="1206" t="s">
        <v>2337</v>
      </c>
      <c r="E929" s="1207">
        <v>2200</v>
      </c>
      <c r="F929" s="1208" t="s">
        <v>3043</v>
      </c>
      <c r="G929" s="1206" t="s">
        <v>3044</v>
      </c>
      <c r="H929" s="1206" t="s">
        <v>2337</v>
      </c>
      <c r="I929" s="1209" t="s">
        <v>2940</v>
      </c>
      <c r="J929" s="1206" t="s">
        <v>2337</v>
      </c>
      <c r="K929" s="1205">
        <v>2</v>
      </c>
      <c r="L929" s="1205">
        <v>6</v>
      </c>
      <c r="M929" s="1207">
        <v>13200</v>
      </c>
      <c r="N929" s="1205">
        <v>2</v>
      </c>
      <c r="O929" s="1205">
        <v>6</v>
      </c>
      <c r="P929" s="1207">
        <v>13200</v>
      </c>
    </row>
    <row r="930" spans="1:16" ht="12.75" x14ac:dyDescent="0.2">
      <c r="A930" s="1204" t="s">
        <v>2937</v>
      </c>
      <c r="B930" s="1205" t="s">
        <v>2334</v>
      </c>
      <c r="C930" s="1205" t="s">
        <v>1444</v>
      </c>
      <c r="D930" s="1206" t="s">
        <v>2337</v>
      </c>
      <c r="E930" s="1207">
        <v>2200</v>
      </c>
      <c r="F930" s="1208" t="s">
        <v>3045</v>
      </c>
      <c r="G930" s="1206" t="s">
        <v>3046</v>
      </c>
      <c r="H930" s="1206" t="s">
        <v>2337</v>
      </c>
      <c r="I930" s="1209" t="s">
        <v>2940</v>
      </c>
      <c r="J930" s="1206" t="s">
        <v>2337</v>
      </c>
      <c r="K930" s="1205">
        <v>2</v>
      </c>
      <c r="L930" s="1205">
        <v>6</v>
      </c>
      <c r="M930" s="1207">
        <v>13200</v>
      </c>
      <c r="N930" s="1210">
        <v>2</v>
      </c>
      <c r="O930" s="1210">
        <v>6</v>
      </c>
      <c r="P930" s="1211">
        <v>13200</v>
      </c>
    </row>
    <row r="931" spans="1:16" x14ac:dyDescent="0.2">
      <c r="A931" s="1204" t="s">
        <v>2937</v>
      </c>
      <c r="B931" s="1205" t="s">
        <v>2334</v>
      </c>
      <c r="C931" s="1205" t="s">
        <v>1444</v>
      </c>
      <c r="D931" s="1206" t="s">
        <v>2430</v>
      </c>
      <c r="E931" s="1207">
        <v>1060</v>
      </c>
      <c r="F931" s="1208" t="s">
        <v>3047</v>
      </c>
      <c r="G931" s="1206" t="s">
        <v>3048</v>
      </c>
      <c r="H931" s="1206" t="s">
        <v>2430</v>
      </c>
      <c r="I931" s="1209" t="s">
        <v>2940</v>
      </c>
      <c r="J931" s="1206" t="s">
        <v>2430</v>
      </c>
      <c r="K931" s="1205">
        <v>2</v>
      </c>
      <c r="L931" s="1205">
        <v>6</v>
      </c>
      <c r="M931" s="1207">
        <v>6360</v>
      </c>
      <c r="N931" s="1205">
        <v>2</v>
      </c>
      <c r="O931" s="1205">
        <v>6</v>
      </c>
      <c r="P931" s="1207">
        <v>6360</v>
      </c>
    </row>
    <row r="932" spans="1:16" x14ac:dyDescent="0.2">
      <c r="A932" s="1204" t="s">
        <v>2937</v>
      </c>
      <c r="B932" s="1205" t="s">
        <v>2334</v>
      </c>
      <c r="C932" s="1205" t="s">
        <v>1444</v>
      </c>
      <c r="D932" s="1206" t="s">
        <v>1834</v>
      </c>
      <c r="E932" s="1207">
        <v>6000</v>
      </c>
      <c r="F932" s="1208" t="s">
        <v>3049</v>
      </c>
      <c r="G932" s="1206" t="s">
        <v>3050</v>
      </c>
      <c r="H932" s="1206" t="s">
        <v>1834</v>
      </c>
      <c r="I932" s="1209" t="s">
        <v>2940</v>
      </c>
      <c r="J932" s="1206" t="s">
        <v>1834</v>
      </c>
      <c r="K932" s="1205">
        <v>3</v>
      </c>
      <c r="L932" s="1205">
        <v>6</v>
      </c>
      <c r="M932" s="1207">
        <v>36000</v>
      </c>
      <c r="N932" s="1205">
        <v>3</v>
      </c>
      <c r="O932" s="1205">
        <v>6</v>
      </c>
      <c r="P932" s="1207">
        <v>36000</v>
      </c>
    </row>
    <row r="933" spans="1:16" x14ac:dyDescent="0.2">
      <c r="A933" s="1204" t="s">
        <v>2937</v>
      </c>
      <c r="B933" s="1205" t="s">
        <v>2334</v>
      </c>
      <c r="C933" s="1205" t="s">
        <v>1444</v>
      </c>
      <c r="D933" s="1206" t="s">
        <v>1651</v>
      </c>
      <c r="E933" s="1207">
        <v>1125</v>
      </c>
      <c r="F933" s="1208" t="s">
        <v>3051</v>
      </c>
      <c r="G933" s="1206" t="s">
        <v>3052</v>
      </c>
      <c r="H933" s="1206" t="s">
        <v>1651</v>
      </c>
      <c r="I933" s="1209" t="s">
        <v>2940</v>
      </c>
      <c r="J933" s="1206" t="s">
        <v>1651</v>
      </c>
      <c r="K933" s="1205">
        <v>2</v>
      </c>
      <c r="L933" s="1205">
        <v>6</v>
      </c>
      <c r="M933" s="1207">
        <v>6750</v>
      </c>
      <c r="N933" s="1205">
        <v>2</v>
      </c>
      <c r="O933" s="1205">
        <v>6</v>
      </c>
      <c r="P933" s="1207">
        <v>6750</v>
      </c>
    </row>
    <row r="934" spans="1:16" x14ac:dyDescent="0.2">
      <c r="A934" s="1204" t="s">
        <v>2937</v>
      </c>
      <c r="B934" s="1205" t="s">
        <v>2334</v>
      </c>
      <c r="C934" s="1205" t="s">
        <v>1444</v>
      </c>
      <c r="D934" s="1206" t="s">
        <v>2337</v>
      </c>
      <c r="E934" s="1207">
        <v>2200</v>
      </c>
      <c r="F934" s="1208" t="s">
        <v>3053</v>
      </c>
      <c r="G934" s="1206" t="s">
        <v>3054</v>
      </c>
      <c r="H934" s="1206" t="s">
        <v>2337</v>
      </c>
      <c r="I934" s="1209" t="s">
        <v>2940</v>
      </c>
      <c r="J934" s="1206" t="s">
        <v>2337</v>
      </c>
      <c r="K934" s="1205">
        <v>2</v>
      </c>
      <c r="L934" s="1205">
        <v>6</v>
      </c>
      <c r="M934" s="1207">
        <v>13200</v>
      </c>
      <c r="N934" s="1205">
        <v>2</v>
      </c>
      <c r="O934" s="1205">
        <v>6</v>
      </c>
      <c r="P934" s="1207">
        <v>13200</v>
      </c>
    </row>
    <row r="935" spans="1:16" x14ac:dyDescent="0.2">
      <c r="A935" s="1204" t="s">
        <v>2937</v>
      </c>
      <c r="B935" s="1205" t="s">
        <v>2334</v>
      </c>
      <c r="C935" s="1205" t="s">
        <v>1444</v>
      </c>
      <c r="D935" s="1206" t="s">
        <v>1651</v>
      </c>
      <c r="E935" s="1207">
        <v>3000</v>
      </c>
      <c r="F935" s="1208" t="s">
        <v>3055</v>
      </c>
      <c r="G935" s="1206" t="s">
        <v>3056</v>
      </c>
      <c r="H935" s="1206" t="s">
        <v>1651</v>
      </c>
      <c r="I935" s="1209" t="s">
        <v>2940</v>
      </c>
      <c r="J935" s="1206" t="s">
        <v>1651</v>
      </c>
      <c r="K935" s="1205">
        <v>0</v>
      </c>
      <c r="L935" s="1205">
        <v>0</v>
      </c>
      <c r="M935" s="1207">
        <v>0</v>
      </c>
      <c r="N935" s="1205">
        <v>1</v>
      </c>
      <c r="O935" s="1205">
        <v>1</v>
      </c>
      <c r="P935" s="1207">
        <v>3000</v>
      </c>
    </row>
    <row r="936" spans="1:16" x14ac:dyDescent="0.2">
      <c r="A936" s="1204" t="s">
        <v>2937</v>
      </c>
      <c r="B936" s="1205" t="s">
        <v>2334</v>
      </c>
      <c r="C936" s="1205" t="s">
        <v>1444</v>
      </c>
      <c r="D936" s="1206" t="s">
        <v>2337</v>
      </c>
      <c r="E936" s="1207">
        <v>2200</v>
      </c>
      <c r="F936" s="1208" t="s">
        <v>3057</v>
      </c>
      <c r="G936" s="1206" t="s">
        <v>3058</v>
      </c>
      <c r="H936" s="1206" t="s">
        <v>2337</v>
      </c>
      <c r="I936" s="1209" t="s">
        <v>2940</v>
      </c>
      <c r="J936" s="1206" t="s">
        <v>2337</v>
      </c>
      <c r="K936" s="1205">
        <v>0</v>
      </c>
      <c r="L936" s="1205">
        <v>0</v>
      </c>
      <c r="M936" s="1207">
        <v>0</v>
      </c>
      <c r="N936" s="1205">
        <v>1</v>
      </c>
      <c r="O936" s="1205">
        <v>6</v>
      </c>
      <c r="P936" s="1207">
        <v>13200</v>
      </c>
    </row>
    <row r="937" spans="1:16" x14ac:dyDescent="0.2">
      <c r="A937" s="1204" t="s">
        <v>2937</v>
      </c>
      <c r="B937" s="1205" t="s">
        <v>2334</v>
      </c>
      <c r="C937" s="1205" t="s">
        <v>1444</v>
      </c>
      <c r="D937" s="1206" t="s">
        <v>1834</v>
      </c>
      <c r="E937" s="1207">
        <v>8000</v>
      </c>
      <c r="F937" s="1208" t="s">
        <v>3059</v>
      </c>
      <c r="G937" s="1206" t="s">
        <v>3060</v>
      </c>
      <c r="H937" s="1206" t="s">
        <v>1834</v>
      </c>
      <c r="I937" s="1209" t="s">
        <v>2940</v>
      </c>
      <c r="J937" s="1206" t="s">
        <v>1834</v>
      </c>
      <c r="K937" s="1205">
        <v>0</v>
      </c>
      <c r="L937" s="1205">
        <v>0</v>
      </c>
      <c r="M937" s="1207">
        <v>0</v>
      </c>
      <c r="N937" s="1205">
        <v>1</v>
      </c>
      <c r="O937" s="1205">
        <v>1</v>
      </c>
      <c r="P937" s="1207">
        <v>8000</v>
      </c>
    </row>
    <row r="938" spans="1:16" x14ac:dyDescent="0.2">
      <c r="A938" s="1204" t="s">
        <v>2937</v>
      </c>
      <c r="B938" s="1205" t="s">
        <v>2334</v>
      </c>
      <c r="C938" s="1205" t="s">
        <v>1444</v>
      </c>
      <c r="D938" s="1206" t="s">
        <v>2792</v>
      </c>
      <c r="E938" s="1207">
        <v>2000</v>
      </c>
      <c r="F938" s="1208" t="s">
        <v>3061</v>
      </c>
      <c r="G938" s="1206" t="s">
        <v>3062</v>
      </c>
      <c r="H938" s="1206" t="s">
        <v>2792</v>
      </c>
      <c r="I938" s="1209" t="s">
        <v>2940</v>
      </c>
      <c r="J938" s="1206" t="s">
        <v>2792</v>
      </c>
      <c r="K938" s="1205">
        <v>0</v>
      </c>
      <c r="L938" s="1205">
        <v>0</v>
      </c>
      <c r="M938" s="1207">
        <v>0</v>
      </c>
      <c r="N938" s="1205">
        <v>1</v>
      </c>
      <c r="O938" s="1205">
        <v>3</v>
      </c>
      <c r="P938" s="1207">
        <v>6000</v>
      </c>
    </row>
    <row r="939" spans="1:16" x14ac:dyDescent="0.2">
      <c r="A939" s="1204" t="s">
        <v>2937</v>
      </c>
      <c r="B939" s="1205" t="s">
        <v>2334</v>
      </c>
      <c r="C939" s="1205" t="s">
        <v>1444</v>
      </c>
      <c r="D939" s="1206" t="s">
        <v>1834</v>
      </c>
      <c r="E939" s="1207">
        <v>6000</v>
      </c>
      <c r="F939" s="1208" t="s">
        <v>3063</v>
      </c>
      <c r="G939" s="1206" t="s">
        <v>3064</v>
      </c>
      <c r="H939" s="1206" t="s">
        <v>1834</v>
      </c>
      <c r="I939" s="1209" t="s">
        <v>2940</v>
      </c>
      <c r="J939" s="1206" t="s">
        <v>1834</v>
      </c>
      <c r="K939" s="1205">
        <v>3</v>
      </c>
      <c r="L939" s="1205">
        <v>3</v>
      </c>
      <c r="M939" s="1207">
        <v>18000</v>
      </c>
      <c r="N939" s="1205">
        <v>3</v>
      </c>
      <c r="O939" s="1205">
        <v>3</v>
      </c>
      <c r="P939" s="1207">
        <v>18000</v>
      </c>
    </row>
    <row r="940" spans="1:16" x14ac:dyDescent="0.2">
      <c r="A940" s="1204" t="s">
        <v>2937</v>
      </c>
      <c r="B940" s="1205" t="s">
        <v>2334</v>
      </c>
      <c r="C940" s="1205" t="s">
        <v>1444</v>
      </c>
      <c r="D940" s="1206" t="s">
        <v>904</v>
      </c>
      <c r="E940" s="1207">
        <v>1200</v>
      </c>
      <c r="F940" s="1208" t="s">
        <v>3065</v>
      </c>
      <c r="G940" s="1206" t="s">
        <v>3066</v>
      </c>
      <c r="H940" s="1206" t="s">
        <v>904</v>
      </c>
      <c r="I940" s="1209" t="s">
        <v>2940</v>
      </c>
      <c r="J940" s="1206" t="s">
        <v>904</v>
      </c>
      <c r="K940" s="1205">
        <v>3</v>
      </c>
      <c r="L940" s="1205">
        <v>6</v>
      </c>
      <c r="M940" s="1207">
        <v>7200</v>
      </c>
      <c r="N940" s="1205">
        <v>3</v>
      </c>
      <c r="O940" s="1205">
        <v>6</v>
      </c>
      <c r="P940" s="1207">
        <v>7200</v>
      </c>
    </row>
    <row r="941" spans="1:16" x14ac:dyDescent="0.2">
      <c r="A941" s="1204" t="s">
        <v>2937</v>
      </c>
      <c r="B941" s="1205" t="s">
        <v>2334</v>
      </c>
      <c r="C941" s="1205" t="s">
        <v>1444</v>
      </c>
      <c r="D941" s="1206" t="s">
        <v>1834</v>
      </c>
      <c r="E941" s="1207">
        <v>8000</v>
      </c>
      <c r="F941" s="1208" t="s">
        <v>3067</v>
      </c>
      <c r="G941" s="1206" t="s">
        <v>3068</v>
      </c>
      <c r="H941" s="1206" t="s">
        <v>1834</v>
      </c>
      <c r="I941" s="1209" t="s">
        <v>2940</v>
      </c>
      <c r="J941" s="1206" t="s">
        <v>1834</v>
      </c>
      <c r="K941" s="1205">
        <v>0</v>
      </c>
      <c r="L941" s="1205">
        <v>0</v>
      </c>
      <c r="M941" s="1207">
        <v>0</v>
      </c>
      <c r="N941" s="1205">
        <v>1</v>
      </c>
      <c r="O941" s="1205">
        <v>1</v>
      </c>
      <c r="P941" s="1207">
        <v>8000</v>
      </c>
    </row>
    <row r="942" spans="1:16" x14ac:dyDescent="0.2">
      <c r="A942" s="1204" t="s">
        <v>2937</v>
      </c>
      <c r="B942" s="1205" t="s">
        <v>2334</v>
      </c>
      <c r="C942" s="1205" t="s">
        <v>1444</v>
      </c>
      <c r="D942" s="1206" t="s">
        <v>1834</v>
      </c>
      <c r="E942" s="1207">
        <v>8000</v>
      </c>
      <c r="F942" s="1208" t="s">
        <v>3069</v>
      </c>
      <c r="G942" s="1206" t="s">
        <v>3070</v>
      </c>
      <c r="H942" s="1206" t="s">
        <v>1834</v>
      </c>
      <c r="I942" s="1209" t="s">
        <v>2940</v>
      </c>
      <c r="J942" s="1206" t="s">
        <v>1834</v>
      </c>
      <c r="K942" s="1205">
        <v>0</v>
      </c>
      <c r="L942" s="1205">
        <v>0</v>
      </c>
      <c r="M942" s="1207">
        <v>0</v>
      </c>
      <c r="N942" s="1205">
        <v>1</v>
      </c>
      <c r="O942" s="1205">
        <v>1</v>
      </c>
      <c r="P942" s="1207">
        <v>8000</v>
      </c>
    </row>
    <row r="943" spans="1:16" ht="12.75" x14ac:dyDescent="0.2">
      <c r="A943" s="1204" t="s">
        <v>2937</v>
      </c>
      <c r="B943" s="1205" t="s">
        <v>2334</v>
      </c>
      <c r="C943" s="1205" t="s">
        <v>1444</v>
      </c>
      <c r="D943" s="1206" t="s">
        <v>1834</v>
      </c>
      <c r="E943" s="1207">
        <v>6000</v>
      </c>
      <c r="F943" s="1208" t="s">
        <v>3071</v>
      </c>
      <c r="G943" s="1206" t="s">
        <v>3072</v>
      </c>
      <c r="H943" s="1206" t="s">
        <v>1834</v>
      </c>
      <c r="I943" s="1209" t="s">
        <v>2940</v>
      </c>
      <c r="J943" s="1206" t="s">
        <v>1834</v>
      </c>
      <c r="K943" s="1205">
        <v>2</v>
      </c>
      <c r="L943" s="1205">
        <v>6</v>
      </c>
      <c r="M943" s="1207">
        <v>36000</v>
      </c>
      <c r="N943" s="1210">
        <v>2</v>
      </c>
      <c r="O943" s="1210">
        <v>6</v>
      </c>
      <c r="P943" s="1211">
        <v>36000</v>
      </c>
    </row>
    <row r="944" spans="1:16" x14ac:dyDescent="0.2">
      <c r="A944" s="1204" t="s">
        <v>2937</v>
      </c>
      <c r="B944" s="1205" t="s">
        <v>2334</v>
      </c>
      <c r="C944" s="1205" t="s">
        <v>1444</v>
      </c>
      <c r="D944" s="1206" t="s">
        <v>2746</v>
      </c>
      <c r="E944" s="1207">
        <v>3800</v>
      </c>
      <c r="F944" s="1208" t="s">
        <v>3073</v>
      </c>
      <c r="G944" s="1206" t="s">
        <v>3074</v>
      </c>
      <c r="H944" s="1206" t="s">
        <v>2746</v>
      </c>
      <c r="I944" s="1209" t="s">
        <v>2940</v>
      </c>
      <c r="J944" s="1206" t="s">
        <v>2746</v>
      </c>
      <c r="K944" s="1205">
        <v>10</v>
      </c>
      <c r="L944" s="1205">
        <v>6</v>
      </c>
      <c r="M944" s="1207">
        <v>22800</v>
      </c>
      <c r="N944" s="1205">
        <v>10</v>
      </c>
      <c r="O944" s="1205">
        <v>6</v>
      </c>
      <c r="P944" s="1207">
        <v>22800</v>
      </c>
    </row>
    <row r="945" spans="1:16" x14ac:dyDescent="0.2">
      <c r="A945" s="1204" t="s">
        <v>2937</v>
      </c>
      <c r="B945" s="1205" t="s">
        <v>2334</v>
      </c>
      <c r="C945" s="1205" t="s">
        <v>1444</v>
      </c>
      <c r="D945" s="1206" t="s">
        <v>1811</v>
      </c>
      <c r="E945" s="1207">
        <v>2200</v>
      </c>
      <c r="F945" s="1208" t="s">
        <v>3075</v>
      </c>
      <c r="G945" s="1206" t="s">
        <v>3076</v>
      </c>
      <c r="H945" s="1206" t="s">
        <v>1811</v>
      </c>
      <c r="I945" s="1209" t="s">
        <v>2940</v>
      </c>
      <c r="J945" s="1206" t="s">
        <v>1811</v>
      </c>
      <c r="K945" s="1205">
        <v>2</v>
      </c>
      <c r="L945" s="1205">
        <v>6</v>
      </c>
      <c r="M945" s="1207">
        <v>13200</v>
      </c>
      <c r="N945" s="1205">
        <v>2</v>
      </c>
      <c r="O945" s="1205">
        <v>6</v>
      </c>
      <c r="P945" s="1207">
        <v>13200</v>
      </c>
    </row>
    <row r="946" spans="1:16" x14ac:dyDescent="0.2">
      <c r="A946" s="1204" t="s">
        <v>2937</v>
      </c>
      <c r="B946" s="1205" t="s">
        <v>2334</v>
      </c>
      <c r="C946" s="1205" t="s">
        <v>1444</v>
      </c>
      <c r="D946" s="1206" t="s">
        <v>2337</v>
      </c>
      <c r="E946" s="1207">
        <v>2200</v>
      </c>
      <c r="F946" s="1208" t="s">
        <v>3077</v>
      </c>
      <c r="G946" s="1206" t="s">
        <v>3078</v>
      </c>
      <c r="H946" s="1206" t="s">
        <v>2337</v>
      </c>
      <c r="I946" s="1209" t="s">
        <v>2940</v>
      </c>
      <c r="J946" s="1206" t="s">
        <v>2337</v>
      </c>
      <c r="K946" s="1205">
        <v>2</v>
      </c>
      <c r="L946" s="1205">
        <v>6</v>
      </c>
      <c r="M946" s="1207">
        <v>13200</v>
      </c>
      <c r="N946" s="1205">
        <v>2</v>
      </c>
      <c r="O946" s="1205">
        <v>6</v>
      </c>
      <c r="P946" s="1207">
        <v>13200</v>
      </c>
    </row>
    <row r="947" spans="1:16" x14ac:dyDescent="0.2">
      <c r="A947" s="1204" t="s">
        <v>2937</v>
      </c>
      <c r="B947" s="1205" t="s">
        <v>2334</v>
      </c>
      <c r="C947" s="1205" t="s">
        <v>1444</v>
      </c>
      <c r="D947" s="1206" t="s">
        <v>1716</v>
      </c>
      <c r="E947" s="1207">
        <v>2500</v>
      </c>
      <c r="F947" s="1208" t="s">
        <v>3079</v>
      </c>
      <c r="G947" s="1206" t="s">
        <v>3080</v>
      </c>
      <c r="H947" s="1206" t="s">
        <v>1716</v>
      </c>
      <c r="I947" s="1209" t="s">
        <v>2940</v>
      </c>
      <c r="J947" s="1206" t="s">
        <v>1716</v>
      </c>
      <c r="K947" s="1205">
        <v>0</v>
      </c>
      <c r="L947" s="1205">
        <v>0</v>
      </c>
      <c r="M947" s="1207">
        <v>0</v>
      </c>
      <c r="N947" s="1205">
        <v>1</v>
      </c>
      <c r="O947" s="1205">
        <v>1</v>
      </c>
      <c r="P947" s="1207">
        <v>2500</v>
      </c>
    </row>
    <row r="948" spans="1:16" x14ac:dyDescent="0.2">
      <c r="A948" s="1204" t="s">
        <v>2937</v>
      </c>
      <c r="B948" s="1205" t="s">
        <v>2334</v>
      </c>
      <c r="C948" s="1205" t="s">
        <v>1444</v>
      </c>
      <c r="D948" s="1206" t="s">
        <v>1834</v>
      </c>
      <c r="E948" s="1207">
        <v>6000</v>
      </c>
      <c r="F948" s="1208" t="s">
        <v>3081</v>
      </c>
      <c r="G948" s="1206" t="s">
        <v>3082</v>
      </c>
      <c r="H948" s="1206" t="s">
        <v>1834</v>
      </c>
      <c r="I948" s="1209" t="s">
        <v>2940</v>
      </c>
      <c r="J948" s="1206" t="s">
        <v>1834</v>
      </c>
      <c r="K948" s="1205">
        <v>1</v>
      </c>
      <c r="L948" s="1205">
        <v>6</v>
      </c>
      <c r="M948" s="1207">
        <v>36000</v>
      </c>
      <c r="N948" s="1205">
        <v>1</v>
      </c>
      <c r="O948" s="1205"/>
      <c r="P948" s="1207">
        <v>0</v>
      </c>
    </row>
    <row r="949" spans="1:16" x14ac:dyDescent="0.2">
      <c r="A949" s="1204" t="s">
        <v>2937</v>
      </c>
      <c r="B949" s="1205" t="s">
        <v>2334</v>
      </c>
      <c r="C949" s="1205" t="s">
        <v>1444</v>
      </c>
      <c r="D949" s="1206" t="s">
        <v>2337</v>
      </c>
      <c r="E949" s="1207">
        <v>2200</v>
      </c>
      <c r="F949" s="1208" t="s">
        <v>3083</v>
      </c>
      <c r="G949" s="1206" t="s">
        <v>3084</v>
      </c>
      <c r="H949" s="1206" t="s">
        <v>2337</v>
      </c>
      <c r="I949" s="1209" t="s">
        <v>2940</v>
      </c>
      <c r="J949" s="1206" t="s">
        <v>2337</v>
      </c>
      <c r="K949" s="1205">
        <v>0</v>
      </c>
      <c r="L949" s="1205">
        <v>0</v>
      </c>
      <c r="M949" s="1207">
        <v>0</v>
      </c>
      <c r="N949" s="1205">
        <v>1</v>
      </c>
      <c r="O949" s="1205">
        <v>6</v>
      </c>
      <c r="P949" s="1207">
        <v>13200</v>
      </c>
    </row>
    <row r="950" spans="1:16" x14ac:dyDescent="0.2">
      <c r="A950" s="1204" t="s">
        <v>2937</v>
      </c>
      <c r="B950" s="1205" t="s">
        <v>2334</v>
      </c>
      <c r="C950" s="1205" t="s">
        <v>1444</v>
      </c>
      <c r="D950" s="1206" t="s">
        <v>1834</v>
      </c>
      <c r="E950" s="1207">
        <v>6000</v>
      </c>
      <c r="F950" s="1208" t="s">
        <v>3085</v>
      </c>
      <c r="G950" s="1206" t="s">
        <v>3086</v>
      </c>
      <c r="H950" s="1206" t="s">
        <v>1834</v>
      </c>
      <c r="I950" s="1209" t="s">
        <v>2940</v>
      </c>
      <c r="J950" s="1206" t="s">
        <v>1834</v>
      </c>
      <c r="K950" s="1205">
        <v>1</v>
      </c>
      <c r="L950" s="1205">
        <v>6</v>
      </c>
      <c r="M950" s="1207">
        <v>36000</v>
      </c>
      <c r="N950" s="1205">
        <v>1</v>
      </c>
      <c r="O950" s="1205"/>
      <c r="P950" s="1207">
        <v>0</v>
      </c>
    </row>
    <row r="951" spans="1:16" x14ac:dyDescent="0.2">
      <c r="A951" s="1204" t="s">
        <v>2937</v>
      </c>
      <c r="B951" s="1205" t="s">
        <v>2334</v>
      </c>
      <c r="C951" s="1205" t="s">
        <v>1444</v>
      </c>
      <c r="D951" s="1206" t="s">
        <v>2337</v>
      </c>
      <c r="E951" s="1207">
        <v>2200</v>
      </c>
      <c r="F951" s="1208" t="s">
        <v>3087</v>
      </c>
      <c r="G951" s="1206" t="s">
        <v>3088</v>
      </c>
      <c r="H951" s="1206" t="s">
        <v>2337</v>
      </c>
      <c r="I951" s="1209" t="s">
        <v>2940</v>
      </c>
      <c r="J951" s="1206" t="s">
        <v>2337</v>
      </c>
      <c r="K951" s="1205">
        <v>4</v>
      </c>
      <c r="L951" s="1205">
        <v>6</v>
      </c>
      <c r="M951" s="1207">
        <v>13200</v>
      </c>
      <c r="N951" s="1205">
        <v>4</v>
      </c>
      <c r="O951" s="1205">
        <v>6</v>
      </c>
      <c r="P951" s="1207">
        <v>13200</v>
      </c>
    </row>
    <row r="952" spans="1:16" x14ac:dyDescent="0.2">
      <c r="A952" s="1204" t="s">
        <v>2937</v>
      </c>
      <c r="B952" s="1205" t="s">
        <v>2334</v>
      </c>
      <c r="C952" s="1205" t="s">
        <v>1444</v>
      </c>
      <c r="D952" s="1206" t="s">
        <v>1666</v>
      </c>
      <c r="E952" s="1207">
        <v>4000</v>
      </c>
      <c r="F952" s="1208" t="s">
        <v>3089</v>
      </c>
      <c r="G952" s="1206" t="s">
        <v>3090</v>
      </c>
      <c r="H952" s="1206" t="s">
        <v>1666</v>
      </c>
      <c r="I952" s="1209" t="s">
        <v>2940</v>
      </c>
      <c r="J952" s="1206" t="s">
        <v>1666</v>
      </c>
      <c r="K952" s="1205">
        <v>0</v>
      </c>
      <c r="L952" s="1205">
        <v>0</v>
      </c>
      <c r="M952" s="1207">
        <v>0</v>
      </c>
      <c r="N952" s="1205">
        <v>1</v>
      </c>
      <c r="O952" s="1205">
        <v>1</v>
      </c>
      <c r="P952" s="1207">
        <v>4000</v>
      </c>
    </row>
    <row r="953" spans="1:16" x14ac:dyDescent="0.2">
      <c r="A953" s="1204" t="s">
        <v>2937</v>
      </c>
      <c r="B953" s="1205" t="s">
        <v>2334</v>
      </c>
      <c r="C953" s="1205" t="s">
        <v>1444</v>
      </c>
      <c r="D953" s="1206" t="s">
        <v>904</v>
      </c>
      <c r="E953" s="1207">
        <v>1200</v>
      </c>
      <c r="F953" s="1208" t="s">
        <v>3091</v>
      </c>
      <c r="G953" s="1206" t="s">
        <v>3092</v>
      </c>
      <c r="H953" s="1206" t="s">
        <v>904</v>
      </c>
      <c r="I953" s="1209" t="s">
        <v>2940</v>
      </c>
      <c r="J953" s="1206" t="s">
        <v>904</v>
      </c>
      <c r="K953" s="1205">
        <v>3</v>
      </c>
      <c r="L953" s="1205">
        <v>6</v>
      </c>
      <c r="M953" s="1207">
        <v>7200</v>
      </c>
      <c r="N953" s="1205">
        <v>3</v>
      </c>
      <c r="O953" s="1205">
        <v>6</v>
      </c>
      <c r="P953" s="1207">
        <v>7200</v>
      </c>
    </row>
    <row r="954" spans="1:16" x14ac:dyDescent="0.2">
      <c r="A954" s="1204" t="s">
        <v>2937</v>
      </c>
      <c r="B954" s="1205" t="s">
        <v>2334</v>
      </c>
      <c r="C954" s="1205" t="s">
        <v>1444</v>
      </c>
      <c r="D954" s="1206" t="s">
        <v>1834</v>
      </c>
      <c r="E954" s="1207">
        <v>8000</v>
      </c>
      <c r="F954" s="1208" t="s">
        <v>3093</v>
      </c>
      <c r="G954" s="1206" t="s">
        <v>3094</v>
      </c>
      <c r="H954" s="1206" t="s">
        <v>1834</v>
      </c>
      <c r="I954" s="1209" t="s">
        <v>2940</v>
      </c>
      <c r="J954" s="1206" t="s">
        <v>1834</v>
      </c>
      <c r="K954" s="1205">
        <v>0</v>
      </c>
      <c r="L954" s="1205">
        <v>0</v>
      </c>
      <c r="M954" s="1207">
        <v>0</v>
      </c>
      <c r="N954" s="1205">
        <v>1</v>
      </c>
      <c r="O954" s="1205">
        <v>3</v>
      </c>
      <c r="P954" s="1207">
        <v>24000</v>
      </c>
    </row>
    <row r="955" spans="1:16" x14ac:dyDescent="0.2">
      <c r="A955" s="1204" t="s">
        <v>2937</v>
      </c>
      <c r="B955" s="1205" t="s">
        <v>2334</v>
      </c>
      <c r="C955" s="1205" t="s">
        <v>1444</v>
      </c>
      <c r="D955" s="1206" t="s">
        <v>1651</v>
      </c>
      <c r="E955" s="1207">
        <v>1200</v>
      </c>
      <c r="F955" s="1208" t="s">
        <v>3095</v>
      </c>
      <c r="G955" s="1206" t="s">
        <v>3096</v>
      </c>
      <c r="H955" s="1206" t="s">
        <v>1651</v>
      </c>
      <c r="I955" s="1209" t="s">
        <v>2940</v>
      </c>
      <c r="J955" s="1206" t="s">
        <v>1651</v>
      </c>
      <c r="K955" s="1205">
        <v>0</v>
      </c>
      <c r="L955" s="1205">
        <v>0</v>
      </c>
      <c r="M955" s="1207">
        <v>0</v>
      </c>
      <c r="N955" s="1205">
        <v>1</v>
      </c>
      <c r="O955" s="1205">
        <v>6</v>
      </c>
      <c r="P955" s="1207">
        <v>7200</v>
      </c>
    </row>
    <row r="956" spans="1:16" x14ac:dyDescent="0.2">
      <c r="A956" s="1204" t="s">
        <v>2937</v>
      </c>
      <c r="B956" s="1205" t="s">
        <v>2334</v>
      </c>
      <c r="C956" s="1205" t="s">
        <v>1444</v>
      </c>
      <c r="D956" s="1206" t="s">
        <v>1651</v>
      </c>
      <c r="E956" s="1207">
        <v>3000</v>
      </c>
      <c r="F956" s="1208" t="s">
        <v>3097</v>
      </c>
      <c r="G956" s="1206" t="s">
        <v>3098</v>
      </c>
      <c r="H956" s="1206" t="s">
        <v>1651</v>
      </c>
      <c r="I956" s="1209" t="s">
        <v>2940</v>
      </c>
      <c r="J956" s="1206" t="s">
        <v>1651</v>
      </c>
      <c r="K956" s="1205">
        <v>0</v>
      </c>
      <c r="L956" s="1205">
        <v>0</v>
      </c>
      <c r="M956" s="1207">
        <v>0</v>
      </c>
      <c r="N956" s="1205">
        <v>1</v>
      </c>
      <c r="O956" s="1205">
        <v>3</v>
      </c>
      <c r="P956" s="1207">
        <v>9000</v>
      </c>
    </row>
    <row r="957" spans="1:16" x14ac:dyDescent="0.2">
      <c r="A957" s="1204" t="s">
        <v>2937</v>
      </c>
      <c r="B957" s="1205" t="s">
        <v>2334</v>
      </c>
      <c r="C957" s="1205" t="s">
        <v>1444</v>
      </c>
      <c r="D957" s="1206" t="s">
        <v>1651</v>
      </c>
      <c r="E957" s="1207">
        <v>3000</v>
      </c>
      <c r="F957" s="1208" t="s">
        <v>3099</v>
      </c>
      <c r="G957" s="1206" t="s">
        <v>3100</v>
      </c>
      <c r="H957" s="1206" t="s">
        <v>1651</v>
      </c>
      <c r="I957" s="1209" t="s">
        <v>2940</v>
      </c>
      <c r="J957" s="1206" t="s">
        <v>1651</v>
      </c>
      <c r="K957" s="1205">
        <v>0</v>
      </c>
      <c r="L957" s="1205">
        <v>0</v>
      </c>
      <c r="M957" s="1207">
        <v>0</v>
      </c>
      <c r="N957" s="1205">
        <v>1</v>
      </c>
      <c r="O957" s="1205">
        <v>2</v>
      </c>
      <c r="P957" s="1207">
        <v>6000</v>
      </c>
    </row>
    <row r="958" spans="1:16" x14ac:dyDescent="0.2">
      <c r="A958" s="1204" t="s">
        <v>2937</v>
      </c>
      <c r="B958" s="1205" t="s">
        <v>2334</v>
      </c>
      <c r="C958" s="1205" t="s">
        <v>1444</v>
      </c>
      <c r="D958" s="1206" t="s">
        <v>1651</v>
      </c>
      <c r="E958" s="1207">
        <v>1200</v>
      </c>
      <c r="F958" s="1208" t="s">
        <v>3101</v>
      </c>
      <c r="G958" s="1206" t="s">
        <v>3102</v>
      </c>
      <c r="H958" s="1206" t="s">
        <v>1651</v>
      </c>
      <c r="I958" s="1209" t="s">
        <v>2940</v>
      </c>
      <c r="J958" s="1206" t="s">
        <v>1651</v>
      </c>
      <c r="K958" s="1205">
        <v>3</v>
      </c>
      <c r="L958" s="1205">
        <v>6</v>
      </c>
      <c r="M958" s="1207">
        <v>7200</v>
      </c>
      <c r="N958" s="1205">
        <v>3</v>
      </c>
      <c r="O958" s="1205">
        <v>6</v>
      </c>
      <c r="P958" s="1207">
        <v>7200</v>
      </c>
    </row>
    <row r="959" spans="1:16" x14ac:dyDescent="0.2">
      <c r="A959" s="1204" t="s">
        <v>2937</v>
      </c>
      <c r="B959" s="1205" t="s">
        <v>2334</v>
      </c>
      <c r="C959" s="1205" t="s">
        <v>1444</v>
      </c>
      <c r="D959" s="1206" t="s">
        <v>1834</v>
      </c>
      <c r="E959" s="1207">
        <v>6000</v>
      </c>
      <c r="F959" s="1208" t="s">
        <v>3103</v>
      </c>
      <c r="G959" s="1206" t="s">
        <v>3104</v>
      </c>
      <c r="H959" s="1206" t="s">
        <v>1834</v>
      </c>
      <c r="I959" s="1209" t="s">
        <v>2940</v>
      </c>
      <c r="J959" s="1206" t="s">
        <v>1834</v>
      </c>
      <c r="K959" s="1205">
        <v>1</v>
      </c>
      <c r="L959" s="1205">
        <v>6</v>
      </c>
      <c r="M959" s="1207">
        <v>36000</v>
      </c>
      <c r="N959" s="1205">
        <v>1</v>
      </c>
      <c r="O959" s="1205">
        <v>6</v>
      </c>
      <c r="P959" s="1207">
        <v>36000</v>
      </c>
    </row>
    <row r="960" spans="1:16" x14ac:dyDescent="0.2">
      <c r="A960" s="1204" t="s">
        <v>2937</v>
      </c>
      <c r="B960" s="1205" t="s">
        <v>2334</v>
      </c>
      <c r="C960" s="1205" t="s">
        <v>1444</v>
      </c>
      <c r="D960" s="1206" t="s">
        <v>2337</v>
      </c>
      <c r="E960" s="1207">
        <v>2200</v>
      </c>
      <c r="F960" s="1208" t="s">
        <v>3105</v>
      </c>
      <c r="G960" s="1206" t="s">
        <v>3106</v>
      </c>
      <c r="H960" s="1206" t="s">
        <v>2337</v>
      </c>
      <c r="I960" s="1209" t="s">
        <v>2940</v>
      </c>
      <c r="J960" s="1206" t="s">
        <v>2337</v>
      </c>
      <c r="K960" s="1205">
        <v>1</v>
      </c>
      <c r="L960" s="1205">
        <v>6</v>
      </c>
      <c r="M960" s="1207">
        <v>13200</v>
      </c>
      <c r="N960" s="1205">
        <v>1</v>
      </c>
      <c r="O960" s="1205"/>
      <c r="P960" s="1207">
        <v>0</v>
      </c>
    </row>
    <row r="961" spans="1:16" x14ac:dyDescent="0.2">
      <c r="A961" s="1204" t="s">
        <v>2937</v>
      </c>
      <c r="B961" s="1205" t="s">
        <v>2334</v>
      </c>
      <c r="C961" s="1205" t="s">
        <v>1444</v>
      </c>
      <c r="D961" s="1206" t="s">
        <v>2337</v>
      </c>
      <c r="E961" s="1207">
        <v>2200</v>
      </c>
      <c r="F961" s="1208" t="s">
        <v>3107</v>
      </c>
      <c r="G961" s="1206" t="s">
        <v>3108</v>
      </c>
      <c r="H961" s="1206" t="s">
        <v>2337</v>
      </c>
      <c r="I961" s="1209" t="s">
        <v>2940</v>
      </c>
      <c r="J961" s="1206" t="s">
        <v>2337</v>
      </c>
      <c r="K961" s="1205">
        <v>2</v>
      </c>
      <c r="L961" s="1205">
        <v>6</v>
      </c>
      <c r="M961" s="1207">
        <v>13200</v>
      </c>
      <c r="N961" s="1205">
        <v>2</v>
      </c>
      <c r="O961" s="1205">
        <v>6</v>
      </c>
      <c r="P961" s="1207">
        <v>13200</v>
      </c>
    </row>
    <row r="962" spans="1:16" x14ac:dyDescent="0.2">
      <c r="A962" s="1204" t="s">
        <v>2937</v>
      </c>
      <c r="B962" s="1205" t="s">
        <v>2334</v>
      </c>
      <c r="C962" s="1205" t="s">
        <v>1444</v>
      </c>
      <c r="D962" s="1206" t="s">
        <v>2337</v>
      </c>
      <c r="E962" s="1207">
        <v>4000</v>
      </c>
      <c r="F962" s="1208" t="s">
        <v>3109</v>
      </c>
      <c r="G962" s="1206" t="s">
        <v>3110</v>
      </c>
      <c r="H962" s="1206" t="s">
        <v>2337</v>
      </c>
      <c r="I962" s="1209" t="s">
        <v>2940</v>
      </c>
      <c r="J962" s="1206" t="s">
        <v>2337</v>
      </c>
      <c r="K962" s="1205">
        <v>0</v>
      </c>
      <c r="L962" s="1205">
        <v>0</v>
      </c>
      <c r="M962" s="1207">
        <v>0</v>
      </c>
      <c r="N962" s="1205">
        <v>1</v>
      </c>
      <c r="O962" s="1205">
        <v>3</v>
      </c>
      <c r="P962" s="1207">
        <v>12000</v>
      </c>
    </row>
    <row r="963" spans="1:16" x14ac:dyDescent="0.2">
      <c r="A963" s="1204" t="s">
        <v>2937</v>
      </c>
      <c r="B963" s="1205" t="s">
        <v>2334</v>
      </c>
      <c r="C963" s="1205" t="s">
        <v>1444</v>
      </c>
      <c r="D963" s="1206" t="s">
        <v>1834</v>
      </c>
      <c r="E963" s="1207">
        <v>6000</v>
      </c>
      <c r="F963" s="1208" t="s">
        <v>3111</v>
      </c>
      <c r="G963" s="1206" t="s">
        <v>3112</v>
      </c>
      <c r="H963" s="1206" t="s">
        <v>1834</v>
      </c>
      <c r="I963" s="1209" t="s">
        <v>2940</v>
      </c>
      <c r="J963" s="1206" t="s">
        <v>1834</v>
      </c>
      <c r="K963" s="1205">
        <v>1</v>
      </c>
      <c r="L963" s="1205">
        <v>6</v>
      </c>
      <c r="M963" s="1207">
        <v>36000</v>
      </c>
      <c r="N963" s="1205">
        <v>1</v>
      </c>
      <c r="O963" s="1205"/>
      <c r="P963" s="1207">
        <v>0</v>
      </c>
    </row>
    <row r="964" spans="1:16" x14ac:dyDescent="0.2">
      <c r="A964" s="1204" t="s">
        <v>2937</v>
      </c>
      <c r="B964" s="1205" t="s">
        <v>2334</v>
      </c>
      <c r="C964" s="1205" t="s">
        <v>1444</v>
      </c>
      <c r="D964" s="1206" t="s">
        <v>1834</v>
      </c>
      <c r="E964" s="1207">
        <v>8000</v>
      </c>
      <c r="F964" s="1208" t="s">
        <v>3113</v>
      </c>
      <c r="G964" s="1206" t="s">
        <v>3114</v>
      </c>
      <c r="H964" s="1206" t="s">
        <v>1834</v>
      </c>
      <c r="I964" s="1209" t="s">
        <v>2940</v>
      </c>
      <c r="J964" s="1206" t="s">
        <v>1834</v>
      </c>
      <c r="K964" s="1205">
        <v>0</v>
      </c>
      <c r="L964" s="1205">
        <v>0</v>
      </c>
      <c r="M964" s="1207">
        <v>0</v>
      </c>
      <c r="N964" s="1205">
        <v>1</v>
      </c>
      <c r="O964" s="1205">
        <v>1</v>
      </c>
      <c r="P964" s="1207">
        <v>8000</v>
      </c>
    </row>
    <row r="965" spans="1:16" ht="12.75" x14ac:dyDescent="0.2">
      <c r="A965" s="1204" t="s">
        <v>2937</v>
      </c>
      <c r="B965" s="1205" t="s">
        <v>2334</v>
      </c>
      <c r="C965" s="1205" t="s">
        <v>1444</v>
      </c>
      <c r="D965" s="1206" t="s">
        <v>1834</v>
      </c>
      <c r="E965" s="1207">
        <v>6000</v>
      </c>
      <c r="F965" s="1208" t="s">
        <v>3115</v>
      </c>
      <c r="G965" s="1206" t="s">
        <v>3116</v>
      </c>
      <c r="H965" s="1206" t="s">
        <v>1834</v>
      </c>
      <c r="I965" s="1209" t="s">
        <v>2940</v>
      </c>
      <c r="J965" s="1206" t="s">
        <v>1834</v>
      </c>
      <c r="K965" s="1205">
        <v>2</v>
      </c>
      <c r="L965" s="1205">
        <v>6</v>
      </c>
      <c r="M965" s="1207">
        <v>36000</v>
      </c>
      <c r="N965" s="1210">
        <v>2</v>
      </c>
      <c r="O965" s="1210">
        <v>6</v>
      </c>
      <c r="P965" s="1211">
        <v>36000</v>
      </c>
    </row>
    <row r="966" spans="1:16" x14ac:dyDescent="0.2">
      <c r="A966" s="1204" t="s">
        <v>2937</v>
      </c>
      <c r="B966" s="1205" t="s">
        <v>2334</v>
      </c>
      <c r="C966" s="1205" t="s">
        <v>1444</v>
      </c>
      <c r="D966" s="1206" t="s">
        <v>613</v>
      </c>
      <c r="E966" s="1207">
        <v>1125</v>
      </c>
      <c r="F966" s="1208" t="s">
        <v>3117</v>
      </c>
      <c r="G966" s="1206" t="s">
        <v>3118</v>
      </c>
      <c r="H966" s="1206" t="s">
        <v>613</v>
      </c>
      <c r="I966" s="1209" t="s">
        <v>2940</v>
      </c>
      <c r="J966" s="1206" t="s">
        <v>613</v>
      </c>
      <c r="K966" s="1205">
        <v>10</v>
      </c>
      <c r="L966" s="1205">
        <v>6</v>
      </c>
      <c r="M966" s="1207">
        <v>6750</v>
      </c>
      <c r="N966" s="1205">
        <v>10</v>
      </c>
      <c r="O966" s="1205">
        <v>6</v>
      </c>
      <c r="P966" s="1207">
        <v>6750</v>
      </c>
    </row>
    <row r="967" spans="1:16" x14ac:dyDescent="0.2">
      <c r="A967" s="1204" t="s">
        <v>2937</v>
      </c>
      <c r="B967" s="1205" t="s">
        <v>2334</v>
      </c>
      <c r="C967" s="1205" t="s">
        <v>1444</v>
      </c>
      <c r="D967" s="1206" t="s">
        <v>1656</v>
      </c>
      <c r="E967" s="1207">
        <v>2500</v>
      </c>
      <c r="F967" s="1208" t="s">
        <v>3119</v>
      </c>
      <c r="G967" s="1206" t="s">
        <v>3120</v>
      </c>
      <c r="H967" s="1206" t="s">
        <v>1656</v>
      </c>
      <c r="I967" s="1209" t="s">
        <v>2940</v>
      </c>
      <c r="J967" s="1206" t="s">
        <v>1656</v>
      </c>
      <c r="K967" s="1205">
        <v>0</v>
      </c>
      <c r="L967" s="1205">
        <v>0</v>
      </c>
      <c r="M967" s="1207">
        <v>0</v>
      </c>
      <c r="N967" s="1205">
        <v>1</v>
      </c>
      <c r="O967" s="1205">
        <v>1</v>
      </c>
      <c r="P967" s="1207">
        <v>2500</v>
      </c>
    </row>
    <row r="968" spans="1:16" x14ac:dyDescent="0.2">
      <c r="A968" s="1204" t="s">
        <v>2937</v>
      </c>
      <c r="B968" s="1205" t="s">
        <v>2334</v>
      </c>
      <c r="C968" s="1205" t="s">
        <v>1444</v>
      </c>
      <c r="D968" s="1206" t="s">
        <v>1834</v>
      </c>
      <c r="E968" s="1207">
        <v>6000</v>
      </c>
      <c r="F968" s="1208" t="s">
        <v>3121</v>
      </c>
      <c r="G968" s="1206" t="s">
        <v>3122</v>
      </c>
      <c r="H968" s="1206" t="s">
        <v>1834</v>
      </c>
      <c r="I968" s="1209" t="s">
        <v>2940</v>
      </c>
      <c r="J968" s="1206" t="s">
        <v>1834</v>
      </c>
      <c r="K968" s="1205">
        <v>2</v>
      </c>
      <c r="L968" s="1205">
        <v>6</v>
      </c>
      <c r="M968" s="1207">
        <v>36000</v>
      </c>
      <c r="N968" s="1205">
        <v>2</v>
      </c>
      <c r="O968" s="1205">
        <v>6</v>
      </c>
      <c r="P968" s="1207">
        <v>36000</v>
      </c>
    </row>
    <row r="969" spans="1:16" x14ac:dyDescent="0.2">
      <c r="A969" s="1204" t="s">
        <v>2937</v>
      </c>
      <c r="B969" s="1205" t="s">
        <v>2334</v>
      </c>
      <c r="C969" s="1205" t="s">
        <v>1444</v>
      </c>
      <c r="D969" s="1206" t="s">
        <v>1834</v>
      </c>
      <c r="E969" s="1207">
        <v>8000</v>
      </c>
      <c r="F969" s="1208" t="s">
        <v>3123</v>
      </c>
      <c r="G969" s="1206" t="s">
        <v>3124</v>
      </c>
      <c r="H969" s="1206" t="s">
        <v>1834</v>
      </c>
      <c r="I969" s="1209" t="s">
        <v>2940</v>
      </c>
      <c r="J969" s="1206" t="s">
        <v>1834</v>
      </c>
      <c r="K969" s="1205">
        <v>0</v>
      </c>
      <c r="L969" s="1205">
        <v>0</v>
      </c>
      <c r="M969" s="1207">
        <v>0</v>
      </c>
      <c r="N969" s="1205">
        <v>1</v>
      </c>
      <c r="O969" s="1205">
        <v>1</v>
      </c>
      <c r="P969" s="1207">
        <v>8000</v>
      </c>
    </row>
    <row r="970" spans="1:16" x14ac:dyDescent="0.2">
      <c r="A970" s="1204" t="s">
        <v>2937</v>
      </c>
      <c r="B970" s="1205" t="s">
        <v>2334</v>
      </c>
      <c r="C970" s="1205" t="s">
        <v>1444</v>
      </c>
      <c r="D970" s="1206" t="s">
        <v>1834</v>
      </c>
      <c r="E970" s="1207">
        <v>6000</v>
      </c>
      <c r="F970" s="1208" t="s">
        <v>3125</v>
      </c>
      <c r="G970" s="1206" t="s">
        <v>3126</v>
      </c>
      <c r="H970" s="1206" t="s">
        <v>1834</v>
      </c>
      <c r="I970" s="1209" t="s">
        <v>2940</v>
      </c>
      <c r="J970" s="1206" t="s">
        <v>1834</v>
      </c>
      <c r="K970" s="1205">
        <v>0</v>
      </c>
      <c r="L970" s="1205">
        <v>0</v>
      </c>
      <c r="M970" s="1207">
        <v>0</v>
      </c>
      <c r="N970" s="1205">
        <v>1</v>
      </c>
      <c r="O970" s="1205">
        <v>6</v>
      </c>
      <c r="P970" s="1207">
        <v>36000</v>
      </c>
    </row>
    <row r="971" spans="1:16" x14ac:dyDescent="0.2">
      <c r="A971" s="1204" t="s">
        <v>2937</v>
      </c>
      <c r="B971" s="1205" t="s">
        <v>2334</v>
      </c>
      <c r="C971" s="1205" t="s">
        <v>1444</v>
      </c>
      <c r="D971" s="1206" t="s">
        <v>1834</v>
      </c>
      <c r="E971" s="1207">
        <v>6000</v>
      </c>
      <c r="F971" s="1208" t="s">
        <v>3127</v>
      </c>
      <c r="G971" s="1206" t="s">
        <v>3128</v>
      </c>
      <c r="H971" s="1206" t="s">
        <v>1834</v>
      </c>
      <c r="I971" s="1209" t="s">
        <v>2940</v>
      </c>
      <c r="J971" s="1206" t="s">
        <v>1834</v>
      </c>
      <c r="K971" s="1205">
        <v>2</v>
      </c>
      <c r="L971" s="1205">
        <v>6</v>
      </c>
      <c r="M971" s="1207">
        <v>36000</v>
      </c>
      <c r="N971" s="1205">
        <v>2</v>
      </c>
      <c r="O971" s="1205">
        <v>6</v>
      </c>
      <c r="P971" s="1207">
        <v>36000</v>
      </c>
    </row>
    <row r="972" spans="1:16" x14ac:dyDescent="0.2">
      <c r="A972" s="1204" t="s">
        <v>2937</v>
      </c>
      <c r="B972" s="1205" t="s">
        <v>2334</v>
      </c>
      <c r="C972" s="1205" t="s">
        <v>1444</v>
      </c>
      <c r="D972" s="1206" t="s">
        <v>1651</v>
      </c>
      <c r="E972" s="1207">
        <v>3000</v>
      </c>
      <c r="F972" s="1208" t="s">
        <v>3129</v>
      </c>
      <c r="G972" s="1206" t="s">
        <v>3130</v>
      </c>
      <c r="H972" s="1206" t="s">
        <v>1651</v>
      </c>
      <c r="I972" s="1209" t="s">
        <v>2940</v>
      </c>
      <c r="J972" s="1206" t="s">
        <v>1651</v>
      </c>
      <c r="K972" s="1205">
        <v>0</v>
      </c>
      <c r="L972" s="1205">
        <v>0</v>
      </c>
      <c r="M972" s="1207">
        <v>0</v>
      </c>
      <c r="N972" s="1205">
        <v>1</v>
      </c>
      <c r="O972" s="1205">
        <v>3</v>
      </c>
      <c r="P972" s="1207">
        <v>9000</v>
      </c>
    </row>
    <row r="973" spans="1:16" x14ac:dyDescent="0.2">
      <c r="A973" s="1204" t="s">
        <v>2937</v>
      </c>
      <c r="B973" s="1205" t="s">
        <v>2334</v>
      </c>
      <c r="C973" s="1205" t="s">
        <v>1444</v>
      </c>
      <c r="D973" s="1206" t="s">
        <v>1834</v>
      </c>
      <c r="E973" s="1207">
        <v>6000</v>
      </c>
      <c r="F973" s="1208" t="s">
        <v>3131</v>
      </c>
      <c r="G973" s="1206" t="s">
        <v>3132</v>
      </c>
      <c r="H973" s="1206" t="s">
        <v>1834</v>
      </c>
      <c r="I973" s="1209" t="s">
        <v>2940</v>
      </c>
      <c r="J973" s="1206" t="s">
        <v>1834</v>
      </c>
      <c r="K973" s="1205">
        <v>2</v>
      </c>
      <c r="L973" s="1205">
        <v>6</v>
      </c>
      <c r="M973" s="1207">
        <v>36000</v>
      </c>
      <c r="N973" s="1205">
        <v>2</v>
      </c>
      <c r="O973" s="1205">
        <v>6</v>
      </c>
      <c r="P973" s="1207">
        <v>36000</v>
      </c>
    </row>
    <row r="974" spans="1:16" x14ac:dyDescent="0.2">
      <c r="A974" s="1204" t="s">
        <v>2937</v>
      </c>
      <c r="B974" s="1205" t="s">
        <v>2334</v>
      </c>
      <c r="C974" s="1205" t="s">
        <v>1444</v>
      </c>
      <c r="D974" s="1206" t="s">
        <v>2337</v>
      </c>
      <c r="E974" s="1207">
        <v>4000</v>
      </c>
      <c r="F974" s="1208" t="s">
        <v>3133</v>
      </c>
      <c r="G974" s="1206" t="s">
        <v>3134</v>
      </c>
      <c r="H974" s="1206" t="s">
        <v>2337</v>
      </c>
      <c r="I974" s="1209" t="s">
        <v>2940</v>
      </c>
      <c r="J974" s="1206" t="s">
        <v>2337</v>
      </c>
      <c r="K974" s="1205">
        <v>0</v>
      </c>
      <c r="L974" s="1205">
        <v>0</v>
      </c>
      <c r="M974" s="1207">
        <v>0</v>
      </c>
      <c r="N974" s="1205">
        <v>1</v>
      </c>
      <c r="O974" s="1205">
        <v>3</v>
      </c>
      <c r="P974" s="1207">
        <v>12000</v>
      </c>
    </row>
    <row r="975" spans="1:16" x14ac:dyDescent="0.2">
      <c r="A975" s="1204" t="s">
        <v>2937</v>
      </c>
      <c r="B975" s="1205" t="s">
        <v>2334</v>
      </c>
      <c r="C975" s="1205" t="s">
        <v>1444</v>
      </c>
      <c r="D975" s="1206" t="s">
        <v>2337</v>
      </c>
      <c r="E975" s="1207">
        <v>4000</v>
      </c>
      <c r="F975" s="1208" t="s">
        <v>3135</v>
      </c>
      <c r="G975" s="1206" t="s">
        <v>3136</v>
      </c>
      <c r="H975" s="1206" t="s">
        <v>2337</v>
      </c>
      <c r="I975" s="1209" t="s">
        <v>2940</v>
      </c>
      <c r="J975" s="1206" t="s">
        <v>2337</v>
      </c>
      <c r="K975" s="1205">
        <v>0</v>
      </c>
      <c r="L975" s="1205">
        <v>0</v>
      </c>
      <c r="M975" s="1207">
        <v>0</v>
      </c>
      <c r="N975" s="1205">
        <v>1</v>
      </c>
      <c r="O975" s="1205">
        <v>1</v>
      </c>
      <c r="P975" s="1207">
        <v>4000</v>
      </c>
    </row>
    <row r="976" spans="1:16" x14ac:dyDescent="0.2">
      <c r="A976" s="1204" t="s">
        <v>2937</v>
      </c>
      <c r="B976" s="1205" t="s">
        <v>2334</v>
      </c>
      <c r="C976" s="1205" t="s">
        <v>1444</v>
      </c>
      <c r="D976" s="1206" t="s">
        <v>1651</v>
      </c>
      <c r="E976" s="1207">
        <v>1200</v>
      </c>
      <c r="F976" s="1208" t="s">
        <v>3137</v>
      </c>
      <c r="G976" s="1206" t="s">
        <v>3138</v>
      </c>
      <c r="H976" s="1206" t="s">
        <v>1651</v>
      </c>
      <c r="I976" s="1209" t="s">
        <v>2940</v>
      </c>
      <c r="J976" s="1206" t="s">
        <v>1651</v>
      </c>
      <c r="K976" s="1205">
        <v>3</v>
      </c>
      <c r="L976" s="1205">
        <v>6</v>
      </c>
      <c r="M976" s="1207">
        <v>7200</v>
      </c>
      <c r="N976" s="1205">
        <v>3</v>
      </c>
      <c r="O976" s="1205">
        <v>6</v>
      </c>
      <c r="P976" s="1207">
        <v>7200</v>
      </c>
    </row>
    <row r="977" spans="1:16" x14ac:dyDescent="0.2">
      <c r="A977" s="1204" t="s">
        <v>2937</v>
      </c>
      <c r="B977" s="1205" t="s">
        <v>2334</v>
      </c>
      <c r="C977" s="1205" t="s">
        <v>1444</v>
      </c>
      <c r="D977" s="1206" t="s">
        <v>2337</v>
      </c>
      <c r="E977" s="1207">
        <v>4000</v>
      </c>
      <c r="F977" s="1208" t="s">
        <v>3139</v>
      </c>
      <c r="G977" s="1206" t="s">
        <v>3140</v>
      </c>
      <c r="H977" s="1206" t="s">
        <v>2337</v>
      </c>
      <c r="I977" s="1209" t="s">
        <v>2940</v>
      </c>
      <c r="J977" s="1206" t="s">
        <v>2337</v>
      </c>
      <c r="K977" s="1205">
        <v>0</v>
      </c>
      <c r="L977" s="1205">
        <v>0</v>
      </c>
      <c r="M977" s="1207">
        <v>0</v>
      </c>
      <c r="N977" s="1205">
        <v>1</v>
      </c>
      <c r="O977" s="1205">
        <v>1</v>
      </c>
      <c r="P977" s="1207">
        <v>4000</v>
      </c>
    </row>
    <row r="978" spans="1:16" x14ac:dyDescent="0.2">
      <c r="A978" s="1204" t="s">
        <v>2937</v>
      </c>
      <c r="B978" s="1205" t="s">
        <v>2334</v>
      </c>
      <c r="C978" s="1205" t="s">
        <v>1444</v>
      </c>
      <c r="D978" s="1206" t="s">
        <v>1656</v>
      </c>
      <c r="E978" s="1207">
        <v>2500</v>
      </c>
      <c r="F978" s="1208" t="s">
        <v>3141</v>
      </c>
      <c r="G978" s="1206" t="s">
        <v>3142</v>
      </c>
      <c r="H978" s="1206" t="s">
        <v>1656</v>
      </c>
      <c r="I978" s="1209" t="s">
        <v>2940</v>
      </c>
      <c r="J978" s="1206" t="s">
        <v>1656</v>
      </c>
      <c r="K978" s="1205">
        <v>0</v>
      </c>
      <c r="L978" s="1205">
        <v>0</v>
      </c>
      <c r="M978" s="1207">
        <v>0</v>
      </c>
      <c r="N978" s="1205">
        <v>1</v>
      </c>
      <c r="O978" s="1205">
        <v>1</v>
      </c>
      <c r="P978" s="1207">
        <v>2500</v>
      </c>
    </row>
    <row r="979" spans="1:16" x14ac:dyDescent="0.2">
      <c r="A979" s="1204" t="s">
        <v>2937</v>
      </c>
      <c r="B979" s="1205" t="s">
        <v>2334</v>
      </c>
      <c r="C979" s="1205" t="s">
        <v>1444</v>
      </c>
      <c r="D979" s="1206" t="s">
        <v>1651</v>
      </c>
      <c r="E979" s="1207">
        <v>3000</v>
      </c>
      <c r="F979" s="1208" t="s">
        <v>3143</v>
      </c>
      <c r="G979" s="1206" t="s">
        <v>3144</v>
      </c>
      <c r="H979" s="1206" t="s">
        <v>1651</v>
      </c>
      <c r="I979" s="1209" t="s">
        <v>2940</v>
      </c>
      <c r="J979" s="1206" t="s">
        <v>1651</v>
      </c>
      <c r="K979" s="1205">
        <v>0</v>
      </c>
      <c r="L979" s="1205">
        <v>0</v>
      </c>
      <c r="M979" s="1207">
        <v>0</v>
      </c>
      <c r="N979" s="1205">
        <v>1</v>
      </c>
      <c r="O979" s="1205">
        <v>1</v>
      </c>
      <c r="P979" s="1207">
        <v>3000</v>
      </c>
    </row>
    <row r="980" spans="1:16" x14ac:dyDescent="0.2">
      <c r="A980" s="1204" t="s">
        <v>2937</v>
      </c>
      <c r="B980" s="1205" t="s">
        <v>2334</v>
      </c>
      <c r="C980" s="1205" t="s">
        <v>1444</v>
      </c>
      <c r="D980" s="1206" t="s">
        <v>3145</v>
      </c>
      <c r="E980" s="1207">
        <v>1030</v>
      </c>
      <c r="F980" s="1208" t="s">
        <v>3146</v>
      </c>
      <c r="G980" s="1206" t="s">
        <v>3147</v>
      </c>
      <c r="H980" s="1206" t="s">
        <v>3145</v>
      </c>
      <c r="I980" s="1209" t="s">
        <v>2940</v>
      </c>
      <c r="J980" s="1206" t="s">
        <v>3145</v>
      </c>
      <c r="K980" s="1205">
        <v>9</v>
      </c>
      <c r="L980" s="1205">
        <v>6</v>
      </c>
      <c r="M980" s="1207">
        <v>6180</v>
      </c>
      <c r="N980" s="1205">
        <v>9</v>
      </c>
      <c r="O980" s="1205">
        <v>6</v>
      </c>
      <c r="P980" s="1207">
        <v>6180</v>
      </c>
    </row>
    <row r="981" spans="1:16" ht="12.75" x14ac:dyDescent="0.2">
      <c r="A981" s="1204" t="s">
        <v>2937</v>
      </c>
      <c r="B981" s="1205" t="s">
        <v>2334</v>
      </c>
      <c r="C981" s="1205" t="s">
        <v>1444</v>
      </c>
      <c r="D981" s="1206" t="s">
        <v>1834</v>
      </c>
      <c r="E981" s="1207">
        <v>6000</v>
      </c>
      <c r="F981" s="1208" t="s">
        <v>3148</v>
      </c>
      <c r="G981" s="1206" t="s">
        <v>3149</v>
      </c>
      <c r="H981" s="1206" t="s">
        <v>1834</v>
      </c>
      <c r="I981" s="1209" t="s">
        <v>2940</v>
      </c>
      <c r="J981" s="1206" t="s">
        <v>1834</v>
      </c>
      <c r="K981" s="1205">
        <v>2</v>
      </c>
      <c r="L981" s="1205">
        <v>6</v>
      </c>
      <c r="M981" s="1207">
        <v>36000</v>
      </c>
      <c r="N981" s="1210">
        <v>2</v>
      </c>
      <c r="O981" s="1210">
        <v>6</v>
      </c>
      <c r="P981" s="1211">
        <v>36000</v>
      </c>
    </row>
    <row r="982" spans="1:16" x14ac:dyDescent="0.2">
      <c r="A982" s="1204" t="s">
        <v>2937</v>
      </c>
      <c r="B982" s="1205" t="s">
        <v>2334</v>
      </c>
      <c r="C982" s="1205" t="s">
        <v>1444</v>
      </c>
      <c r="D982" s="1206" t="s">
        <v>613</v>
      </c>
      <c r="E982" s="1207">
        <v>1100</v>
      </c>
      <c r="F982" s="1208" t="s">
        <v>3150</v>
      </c>
      <c r="G982" s="1206" t="s">
        <v>3151</v>
      </c>
      <c r="H982" s="1206" t="s">
        <v>613</v>
      </c>
      <c r="I982" s="1209" t="s">
        <v>2940</v>
      </c>
      <c r="J982" s="1206" t="s">
        <v>613</v>
      </c>
      <c r="K982" s="1205">
        <v>1</v>
      </c>
      <c r="L982" s="1205">
        <v>6</v>
      </c>
      <c r="M982" s="1207">
        <v>9600</v>
      </c>
      <c r="N982" s="1205">
        <v>1</v>
      </c>
      <c r="O982" s="1205">
        <v>6</v>
      </c>
      <c r="P982" s="1207">
        <v>9600</v>
      </c>
    </row>
    <row r="983" spans="1:16" x14ac:dyDescent="0.2">
      <c r="A983" s="1204" t="s">
        <v>2937</v>
      </c>
      <c r="B983" s="1205" t="s">
        <v>2334</v>
      </c>
      <c r="C983" s="1205" t="s">
        <v>1444</v>
      </c>
      <c r="D983" s="1206" t="s">
        <v>3000</v>
      </c>
      <c r="E983" s="1207">
        <v>1100</v>
      </c>
      <c r="F983" s="1208" t="s">
        <v>3152</v>
      </c>
      <c r="G983" s="1206" t="s">
        <v>3153</v>
      </c>
      <c r="H983" s="1206" t="s">
        <v>3000</v>
      </c>
      <c r="I983" s="1209" t="s">
        <v>2940</v>
      </c>
      <c r="J983" s="1206" t="s">
        <v>3000</v>
      </c>
      <c r="K983" s="1205">
        <v>10</v>
      </c>
      <c r="L983" s="1205">
        <v>6</v>
      </c>
      <c r="M983" s="1207">
        <v>6600</v>
      </c>
      <c r="N983" s="1205">
        <v>10</v>
      </c>
      <c r="O983" s="1205">
        <v>6</v>
      </c>
      <c r="P983" s="1207">
        <v>6600</v>
      </c>
    </row>
    <row r="984" spans="1:16" x14ac:dyDescent="0.2">
      <c r="A984" s="1204" t="s">
        <v>2937</v>
      </c>
      <c r="B984" s="1205" t="s">
        <v>2334</v>
      </c>
      <c r="C984" s="1205" t="s">
        <v>1444</v>
      </c>
      <c r="D984" s="1206" t="s">
        <v>2337</v>
      </c>
      <c r="E984" s="1207">
        <v>2200</v>
      </c>
      <c r="F984" s="1208" t="s">
        <v>3154</v>
      </c>
      <c r="G984" s="1206" t="s">
        <v>3155</v>
      </c>
      <c r="H984" s="1206" t="s">
        <v>2337</v>
      </c>
      <c r="I984" s="1209" t="s">
        <v>2940</v>
      </c>
      <c r="J984" s="1206" t="s">
        <v>2337</v>
      </c>
      <c r="K984" s="1205">
        <v>3</v>
      </c>
      <c r="L984" s="1205">
        <v>6</v>
      </c>
      <c r="M984" s="1207">
        <v>13200</v>
      </c>
      <c r="N984" s="1205">
        <v>3</v>
      </c>
      <c r="O984" s="1205">
        <v>6</v>
      </c>
      <c r="P984" s="1207">
        <v>13200</v>
      </c>
    </row>
    <row r="985" spans="1:16" x14ac:dyDescent="0.2">
      <c r="A985" s="1204" t="s">
        <v>2937</v>
      </c>
      <c r="B985" s="1205" t="s">
        <v>2334</v>
      </c>
      <c r="C985" s="1205" t="s">
        <v>1444</v>
      </c>
      <c r="D985" s="1206" t="s">
        <v>1834</v>
      </c>
      <c r="E985" s="1207">
        <v>8000</v>
      </c>
      <c r="F985" s="1208" t="s">
        <v>3156</v>
      </c>
      <c r="G985" s="1206" t="s">
        <v>3157</v>
      </c>
      <c r="H985" s="1206" t="s">
        <v>1834</v>
      </c>
      <c r="I985" s="1209" t="s">
        <v>2940</v>
      </c>
      <c r="J985" s="1206" t="s">
        <v>1834</v>
      </c>
      <c r="K985" s="1205">
        <v>0</v>
      </c>
      <c r="L985" s="1205">
        <v>0</v>
      </c>
      <c r="M985" s="1207">
        <v>0</v>
      </c>
      <c r="N985" s="1205">
        <v>1</v>
      </c>
      <c r="O985" s="1205">
        <v>1</v>
      </c>
      <c r="P985" s="1207">
        <v>8000</v>
      </c>
    </row>
    <row r="986" spans="1:16" x14ac:dyDescent="0.2">
      <c r="A986" s="1204" t="s">
        <v>2937</v>
      </c>
      <c r="B986" s="1205" t="s">
        <v>2334</v>
      </c>
      <c r="C986" s="1205" t="s">
        <v>1444</v>
      </c>
      <c r="D986" s="1206" t="s">
        <v>2337</v>
      </c>
      <c r="E986" s="1207">
        <v>2200</v>
      </c>
      <c r="F986" s="1208" t="s">
        <v>3158</v>
      </c>
      <c r="G986" s="1206" t="s">
        <v>3159</v>
      </c>
      <c r="H986" s="1206" t="s">
        <v>2337</v>
      </c>
      <c r="I986" s="1209" t="s">
        <v>2940</v>
      </c>
      <c r="J986" s="1206" t="s">
        <v>2337</v>
      </c>
      <c r="K986" s="1205">
        <v>0</v>
      </c>
      <c r="L986" s="1205">
        <v>0</v>
      </c>
      <c r="M986" s="1207">
        <v>0</v>
      </c>
      <c r="N986" s="1205">
        <v>1</v>
      </c>
      <c r="O986" s="1205">
        <v>6</v>
      </c>
      <c r="P986" s="1207">
        <v>13200</v>
      </c>
    </row>
    <row r="987" spans="1:16" x14ac:dyDescent="0.2">
      <c r="A987" s="1204" t="s">
        <v>2937</v>
      </c>
      <c r="B987" s="1205" t="s">
        <v>2334</v>
      </c>
      <c r="C987" s="1205" t="s">
        <v>1444</v>
      </c>
      <c r="D987" s="1206" t="s">
        <v>2792</v>
      </c>
      <c r="E987" s="1207">
        <v>2000</v>
      </c>
      <c r="F987" s="1208" t="s">
        <v>3160</v>
      </c>
      <c r="G987" s="1206" t="s">
        <v>3161</v>
      </c>
      <c r="H987" s="1206" t="s">
        <v>2792</v>
      </c>
      <c r="I987" s="1209" t="s">
        <v>2940</v>
      </c>
      <c r="J987" s="1206" t="s">
        <v>2792</v>
      </c>
      <c r="K987" s="1205">
        <v>0</v>
      </c>
      <c r="L987" s="1205">
        <v>0</v>
      </c>
      <c r="M987" s="1207">
        <v>0</v>
      </c>
      <c r="N987" s="1205">
        <v>1</v>
      </c>
      <c r="O987" s="1205">
        <v>1</v>
      </c>
      <c r="P987" s="1207">
        <v>2000</v>
      </c>
    </row>
    <row r="988" spans="1:16" x14ac:dyDescent="0.2">
      <c r="A988" s="1204" t="s">
        <v>2937</v>
      </c>
      <c r="B988" s="1205" t="s">
        <v>2334</v>
      </c>
      <c r="C988" s="1205" t="s">
        <v>1444</v>
      </c>
      <c r="D988" s="1206" t="s">
        <v>2337</v>
      </c>
      <c r="E988" s="1207">
        <v>2200</v>
      </c>
      <c r="F988" s="1208" t="s">
        <v>3162</v>
      </c>
      <c r="G988" s="1206" t="s">
        <v>3163</v>
      </c>
      <c r="H988" s="1206" t="s">
        <v>2337</v>
      </c>
      <c r="I988" s="1209" t="s">
        <v>2940</v>
      </c>
      <c r="J988" s="1206" t="s">
        <v>2337</v>
      </c>
      <c r="K988" s="1205">
        <v>1</v>
      </c>
      <c r="L988" s="1205">
        <v>6</v>
      </c>
      <c r="M988" s="1207">
        <v>13200</v>
      </c>
      <c r="N988" s="1205">
        <v>1</v>
      </c>
      <c r="O988" s="1205">
        <v>6</v>
      </c>
      <c r="P988" s="1207">
        <v>13200</v>
      </c>
    </row>
    <row r="989" spans="1:16" x14ac:dyDescent="0.2">
      <c r="A989" s="1204" t="s">
        <v>2937</v>
      </c>
      <c r="B989" s="1205" t="s">
        <v>2334</v>
      </c>
      <c r="C989" s="1205" t="s">
        <v>1444</v>
      </c>
      <c r="D989" s="1206" t="s">
        <v>2565</v>
      </c>
      <c r="E989" s="1207">
        <v>1060</v>
      </c>
      <c r="F989" s="1208" t="s">
        <v>3164</v>
      </c>
      <c r="G989" s="1206" t="s">
        <v>3165</v>
      </c>
      <c r="H989" s="1206" t="s">
        <v>2565</v>
      </c>
      <c r="I989" s="1209" t="s">
        <v>2940</v>
      </c>
      <c r="J989" s="1206" t="s">
        <v>2565</v>
      </c>
      <c r="K989" s="1205">
        <v>10</v>
      </c>
      <c r="L989" s="1205">
        <v>6</v>
      </c>
      <c r="M989" s="1207">
        <v>6360</v>
      </c>
      <c r="N989" s="1205">
        <v>10</v>
      </c>
      <c r="O989" s="1205">
        <v>6</v>
      </c>
      <c r="P989" s="1207">
        <v>6360</v>
      </c>
    </row>
    <row r="990" spans="1:16" x14ac:dyDescent="0.2">
      <c r="A990" s="1204" t="s">
        <v>2937</v>
      </c>
      <c r="B990" s="1205" t="s">
        <v>2334</v>
      </c>
      <c r="C990" s="1205" t="s">
        <v>1444</v>
      </c>
      <c r="D990" s="1206" t="s">
        <v>1834</v>
      </c>
      <c r="E990" s="1207">
        <v>6000</v>
      </c>
      <c r="F990" s="1208" t="s">
        <v>3166</v>
      </c>
      <c r="G990" s="1206" t="s">
        <v>3167</v>
      </c>
      <c r="H990" s="1206" t="s">
        <v>1834</v>
      </c>
      <c r="I990" s="1209" t="s">
        <v>2940</v>
      </c>
      <c r="J990" s="1206" t="s">
        <v>1834</v>
      </c>
      <c r="K990" s="1205">
        <v>2</v>
      </c>
      <c r="L990" s="1205">
        <v>6</v>
      </c>
      <c r="M990" s="1207">
        <v>36000</v>
      </c>
      <c r="N990" s="1205">
        <v>2</v>
      </c>
      <c r="O990" s="1205">
        <v>6</v>
      </c>
      <c r="P990" s="1207">
        <v>36000</v>
      </c>
    </row>
    <row r="991" spans="1:16" x14ac:dyDescent="0.2">
      <c r="A991" s="1204" t="s">
        <v>2937</v>
      </c>
      <c r="B991" s="1205" t="s">
        <v>2334</v>
      </c>
      <c r="C991" s="1205" t="s">
        <v>1444</v>
      </c>
      <c r="D991" s="1206" t="s">
        <v>1651</v>
      </c>
      <c r="E991" s="1207">
        <v>1125</v>
      </c>
      <c r="F991" s="1208" t="s">
        <v>3168</v>
      </c>
      <c r="G991" s="1206" t="s">
        <v>3169</v>
      </c>
      <c r="H991" s="1206" t="s">
        <v>1651</v>
      </c>
      <c r="I991" s="1209" t="s">
        <v>2940</v>
      </c>
      <c r="J991" s="1206" t="s">
        <v>1651</v>
      </c>
      <c r="K991" s="1205">
        <v>2</v>
      </c>
      <c r="L991" s="1205">
        <v>6</v>
      </c>
      <c r="M991" s="1207">
        <v>6750</v>
      </c>
      <c r="N991" s="1205">
        <v>2</v>
      </c>
      <c r="O991" s="1205">
        <v>6</v>
      </c>
      <c r="P991" s="1207">
        <v>6750</v>
      </c>
    </row>
    <row r="992" spans="1:16" x14ac:dyDescent="0.2">
      <c r="A992" s="1204" t="s">
        <v>2937</v>
      </c>
      <c r="B992" s="1205" t="s">
        <v>2334</v>
      </c>
      <c r="C992" s="1205" t="s">
        <v>1444</v>
      </c>
      <c r="D992" s="1206" t="s">
        <v>1834</v>
      </c>
      <c r="E992" s="1207">
        <v>6000</v>
      </c>
      <c r="F992" s="1208" t="s">
        <v>3170</v>
      </c>
      <c r="G992" s="1206" t="s">
        <v>3171</v>
      </c>
      <c r="H992" s="1206" t="s">
        <v>1834</v>
      </c>
      <c r="I992" s="1209" t="s">
        <v>2940</v>
      </c>
      <c r="J992" s="1206" t="s">
        <v>1834</v>
      </c>
      <c r="K992" s="1205">
        <v>0</v>
      </c>
      <c r="L992" s="1205">
        <v>0</v>
      </c>
      <c r="M992" s="1207">
        <v>0</v>
      </c>
      <c r="N992" s="1205">
        <v>1</v>
      </c>
      <c r="O992" s="1205">
        <v>6</v>
      </c>
      <c r="P992" s="1207">
        <v>36000</v>
      </c>
    </row>
    <row r="993" spans="1:16" x14ac:dyDescent="0.2">
      <c r="A993" s="1204" t="s">
        <v>2937</v>
      </c>
      <c r="B993" s="1205" t="s">
        <v>2334</v>
      </c>
      <c r="C993" s="1205" t="s">
        <v>1444</v>
      </c>
      <c r="D993" s="1206" t="s">
        <v>1651</v>
      </c>
      <c r="E993" s="1207">
        <v>1200</v>
      </c>
      <c r="F993" s="1208" t="s">
        <v>3172</v>
      </c>
      <c r="G993" s="1206" t="s">
        <v>3173</v>
      </c>
      <c r="H993" s="1206" t="s">
        <v>1651</v>
      </c>
      <c r="I993" s="1209" t="s">
        <v>2940</v>
      </c>
      <c r="J993" s="1206" t="s">
        <v>1651</v>
      </c>
      <c r="K993" s="1205">
        <v>1</v>
      </c>
      <c r="L993" s="1205">
        <v>6</v>
      </c>
      <c r="M993" s="1207">
        <v>7200</v>
      </c>
      <c r="N993" s="1205">
        <v>1</v>
      </c>
      <c r="O993" s="1205"/>
      <c r="P993" s="1207">
        <v>0</v>
      </c>
    </row>
    <row r="994" spans="1:16" x14ac:dyDescent="0.2">
      <c r="A994" s="1204" t="s">
        <v>2937</v>
      </c>
      <c r="B994" s="1205" t="s">
        <v>2334</v>
      </c>
      <c r="C994" s="1205" t="s">
        <v>1444</v>
      </c>
      <c r="D994" s="1206" t="s">
        <v>1651</v>
      </c>
      <c r="E994" s="1207">
        <v>1125</v>
      </c>
      <c r="F994" s="1208" t="s">
        <v>3174</v>
      </c>
      <c r="G994" s="1206" t="s">
        <v>3175</v>
      </c>
      <c r="H994" s="1206" t="s">
        <v>1651</v>
      </c>
      <c r="I994" s="1209" t="s">
        <v>2940</v>
      </c>
      <c r="J994" s="1206" t="s">
        <v>1651</v>
      </c>
      <c r="K994" s="1205">
        <v>2</v>
      </c>
      <c r="L994" s="1205">
        <v>4</v>
      </c>
      <c r="M994" s="1207">
        <v>4500</v>
      </c>
      <c r="N994" s="1205">
        <v>2</v>
      </c>
      <c r="O994" s="1205">
        <v>4</v>
      </c>
      <c r="P994" s="1207">
        <v>4500</v>
      </c>
    </row>
    <row r="995" spans="1:16" x14ac:dyDescent="0.2">
      <c r="A995" s="1204" t="s">
        <v>2937</v>
      </c>
      <c r="B995" s="1205" t="s">
        <v>2334</v>
      </c>
      <c r="C995" s="1205" t="s">
        <v>1444</v>
      </c>
      <c r="D995" s="1206" t="s">
        <v>1651</v>
      </c>
      <c r="E995" s="1207">
        <v>1200</v>
      </c>
      <c r="F995" s="1208" t="s">
        <v>3176</v>
      </c>
      <c r="G995" s="1206" t="s">
        <v>3177</v>
      </c>
      <c r="H995" s="1206" t="s">
        <v>1651</v>
      </c>
      <c r="I995" s="1209" t="s">
        <v>2940</v>
      </c>
      <c r="J995" s="1206" t="s">
        <v>1651</v>
      </c>
      <c r="K995" s="1205">
        <v>3</v>
      </c>
      <c r="L995" s="1205">
        <v>6</v>
      </c>
      <c r="M995" s="1207">
        <v>7200</v>
      </c>
      <c r="N995" s="1205">
        <v>3</v>
      </c>
      <c r="O995" s="1205">
        <v>6</v>
      </c>
      <c r="P995" s="1207">
        <v>7200</v>
      </c>
    </row>
    <row r="996" spans="1:16" x14ac:dyDescent="0.2">
      <c r="A996" s="1204" t="s">
        <v>2937</v>
      </c>
      <c r="B996" s="1205" t="s">
        <v>2334</v>
      </c>
      <c r="C996" s="1205" t="s">
        <v>1444</v>
      </c>
      <c r="D996" s="1206" t="s">
        <v>1651</v>
      </c>
      <c r="E996" s="1207">
        <v>1125</v>
      </c>
      <c r="F996" s="1208" t="s">
        <v>3178</v>
      </c>
      <c r="G996" s="1206" t="s">
        <v>3179</v>
      </c>
      <c r="H996" s="1206" t="s">
        <v>1651</v>
      </c>
      <c r="I996" s="1209" t="s">
        <v>2940</v>
      </c>
      <c r="J996" s="1206" t="s">
        <v>1651</v>
      </c>
      <c r="K996" s="1205">
        <v>2</v>
      </c>
      <c r="L996" s="1205">
        <v>6</v>
      </c>
      <c r="M996" s="1207">
        <v>6750</v>
      </c>
      <c r="N996" s="1205">
        <v>2</v>
      </c>
      <c r="O996" s="1205">
        <v>6</v>
      </c>
      <c r="P996" s="1207">
        <v>6750</v>
      </c>
    </row>
    <row r="997" spans="1:16" x14ac:dyDescent="0.2">
      <c r="A997" s="1204" t="s">
        <v>2937</v>
      </c>
      <c r="B997" s="1205" t="s">
        <v>2334</v>
      </c>
      <c r="C997" s="1205" t="s">
        <v>1444</v>
      </c>
      <c r="D997" s="1206" t="s">
        <v>1651</v>
      </c>
      <c r="E997" s="1207">
        <v>1200</v>
      </c>
      <c r="F997" s="1208" t="s">
        <v>3180</v>
      </c>
      <c r="G997" s="1206" t="s">
        <v>3181</v>
      </c>
      <c r="H997" s="1206" t="s">
        <v>1651</v>
      </c>
      <c r="I997" s="1209" t="s">
        <v>2940</v>
      </c>
      <c r="J997" s="1206" t="s">
        <v>1651</v>
      </c>
      <c r="K997" s="1205">
        <v>1</v>
      </c>
      <c r="L997" s="1205">
        <v>6</v>
      </c>
      <c r="M997" s="1207">
        <v>7200</v>
      </c>
      <c r="N997" s="1205">
        <v>1</v>
      </c>
      <c r="O997" s="1205">
        <v>6</v>
      </c>
      <c r="P997" s="1207">
        <v>7200</v>
      </c>
    </row>
    <row r="998" spans="1:16" x14ac:dyDescent="0.2">
      <c r="A998" s="1204" t="s">
        <v>2937</v>
      </c>
      <c r="B998" s="1205" t="s">
        <v>2334</v>
      </c>
      <c r="C998" s="1205" t="s">
        <v>1444</v>
      </c>
      <c r="D998" s="1206" t="s">
        <v>2792</v>
      </c>
      <c r="E998" s="1207">
        <v>2000</v>
      </c>
      <c r="F998" s="1208" t="s">
        <v>3182</v>
      </c>
      <c r="G998" s="1206" t="s">
        <v>3183</v>
      </c>
      <c r="H998" s="1206" t="s">
        <v>2792</v>
      </c>
      <c r="I998" s="1209" t="s">
        <v>2940</v>
      </c>
      <c r="J998" s="1206" t="s">
        <v>2792</v>
      </c>
      <c r="K998" s="1205">
        <v>0</v>
      </c>
      <c r="L998" s="1205">
        <v>0</v>
      </c>
      <c r="M998" s="1207">
        <v>0</v>
      </c>
      <c r="N998" s="1205">
        <v>1</v>
      </c>
      <c r="O998" s="1205">
        <v>1</v>
      </c>
      <c r="P998" s="1207">
        <v>2000</v>
      </c>
    </row>
    <row r="999" spans="1:16" x14ac:dyDescent="0.2">
      <c r="A999" s="1204" t="s">
        <v>2937</v>
      </c>
      <c r="B999" s="1205" t="s">
        <v>2334</v>
      </c>
      <c r="C999" s="1205" t="s">
        <v>1444</v>
      </c>
      <c r="D999" s="1206" t="s">
        <v>1744</v>
      </c>
      <c r="E999" s="1207">
        <v>2200</v>
      </c>
      <c r="F999" s="1208" t="s">
        <v>3184</v>
      </c>
      <c r="G999" s="1206" t="s">
        <v>3185</v>
      </c>
      <c r="H999" s="1206" t="s">
        <v>1744</v>
      </c>
      <c r="I999" s="1209" t="s">
        <v>2940</v>
      </c>
      <c r="J999" s="1206" t="s">
        <v>1744</v>
      </c>
      <c r="K999" s="1205">
        <v>2</v>
      </c>
      <c r="L999" s="1205">
        <v>6</v>
      </c>
      <c r="M999" s="1207">
        <v>13200</v>
      </c>
      <c r="N999" s="1205">
        <v>2</v>
      </c>
      <c r="O999" s="1205">
        <v>6</v>
      </c>
      <c r="P999" s="1207">
        <v>13200</v>
      </c>
    </row>
    <row r="1000" spans="1:16" x14ac:dyDescent="0.2">
      <c r="A1000" s="1204" t="s">
        <v>2937</v>
      </c>
      <c r="B1000" s="1205" t="s">
        <v>2334</v>
      </c>
      <c r="C1000" s="1205" t="s">
        <v>1444</v>
      </c>
      <c r="D1000" s="1206" t="s">
        <v>2337</v>
      </c>
      <c r="E1000" s="1207">
        <v>4000</v>
      </c>
      <c r="F1000" s="1208" t="s">
        <v>3186</v>
      </c>
      <c r="G1000" s="1206" t="s">
        <v>3187</v>
      </c>
      <c r="H1000" s="1206" t="s">
        <v>2337</v>
      </c>
      <c r="I1000" s="1209" t="s">
        <v>2940</v>
      </c>
      <c r="J1000" s="1206" t="s">
        <v>2337</v>
      </c>
      <c r="K1000" s="1205">
        <v>0</v>
      </c>
      <c r="L1000" s="1205">
        <v>0</v>
      </c>
      <c r="M1000" s="1207">
        <v>0</v>
      </c>
      <c r="N1000" s="1205">
        <v>1</v>
      </c>
      <c r="O1000" s="1205">
        <v>3</v>
      </c>
      <c r="P1000" s="1207">
        <v>12000</v>
      </c>
    </row>
    <row r="1001" spans="1:16" x14ac:dyDescent="0.2">
      <c r="A1001" s="1204" t="s">
        <v>2937</v>
      </c>
      <c r="B1001" s="1205" t="s">
        <v>2334</v>
      </c>
      <c r="C1001" s="1205" t="s">
        <v>1444</v>
      </c>
      <c r="D1001" s="1206" t="s">
        <v>2337</v>
      </c>
      <c r="E1001" s="1207">
        <v>4000</v>
      </c>
      <c r="F1001" s="1208" t="s">
        <v>3188</v>
      </c>
      <c r="G1001" s="1206" t="s">
        <v>3189</v>
      </c>
      <c r="H1001" s="1206" t="s">
        <v>2337</v>
      </c>
      <c r="I1001" s="1209" t="s">
        <v>2940</v>
      </c>
      <c r="J1001" s="1206" t="s">
        <v>2337</v>
      </c>
      <c r="K1001" s="1205">
        <v>0</v>
      </c>
      <c r="L1001" s="1205">
        <v>0</v>
      </c>
      <c r="M1001" s="1207">
        <v>0</v>
      </c>
      <c r="N1001" s="1205">
        <v>1</v>
      </c>
      <c r="O1001" s="1205">
        <v>3</v>
      </c>
      <c r="P1001" s="1207">
        <v>12000</v>
      </c>
    </row>
    <row r="1002" spans="1:16" x14ac:dyDescent="0.2">
      <c r="A1002" s="1204" t="s">
        <v>2937</v>
      </c>
      <c r="B1002" s="1205" t="s">
        <v>2334</v>
      </c>
      <c r="C1002" s="1205" t="s">
        <v>1444</v>
      </c>
      <c r="D1002" s="1206" t="s">
        <v>1651</v>
      </c>
      <c r="E1002" s="1207">
        <v>1125</v>
      </c>
      <c r="F1002" s="1208" t="s">
        <v>3190</v>
      </c>
      <c r="G1002" s="1206" t="s">
        <v>3191</v>
      </c>
      <c r="H1002" s="1206" t="s">
        <v>1651</v>
      </c>
      <c r="I1002" s="1209" t="s">
        <v>2940</v>
      </c>
      <c r="J1002" s="1206" t="s">
        <v>1651</v>
      </c>
      <c r="K1002" s="1205">
        <v>9</v>
      </c>
      <c r="L1002" s="1205">
        <v>6</v>
      </c>
      <c r="M1002" s="1207">
        <v>6750</v>
      </c>
      <c r="N1002" s="1205">
        <v>9</v>
      </c>
      <c r="O1002" s="1205">
        <v>6</v>
      </c>
      <c r="P1002" s="1207">
        <v>6750</v>
      </c>
    </row>
    <row r="1003" spans="1:16" x14ac:dyDescent="0.2">
      <c r="A1003" s="1204" t="s">
        <v>2937</v>
      </c>
      <c r="B1003" s="1205" t="s">
        <v>2334</v>
      </c>
      <c r="C1003" s="1205" t="s">
        <v>1444</v>
      </c>
      <c r="D1003" s="1206" t="s">
        <v>1834</v>
      </c>
      <c r="E1003" s="1207">
        <v>6000</v>
      </c>
      <c r="F1003" s="1208" t="s">
        <v>3192</v>
      </c>
      <c r="G1003" s="1206" t="s">
        <v>3193</v>
      </c>
      <c r="H1003" s="1206" t="s">
        <v>1834</v>
      </c>
      <c r="I1003" s="1209" t="s">
        <v>2940</v>
      </c>
      <c r="J1003" s="1206" t="s">
        <v>1834</v>
      </c>
      <c r="K1003" s="1205">
        <v>1</v>
      </c>
      <c r="L1003" s="1205">
        <v>6</v>
      </c>
      <c r="M1003" s="1207">
        <v>36000</v>
      </c>
      <c r="N1003" s="1205">
        <v>1</v>
      </c>
      <c r="O1003" s="1205"/>
      <c r="P1003" s="1207">
        <v>0</v>
      </c>
    </row>
    <row r="1004" spans="1:16" x14ac:dyDescent="0.2">
      <c r="A1004" s="1204" t="s">
        <v>2937</v>
      </c>
      <c r="B1004" s="1205" t="s">
        <v>2334</v>
      </c>
      <c r="C1004" s="1205" t="s">
        <v>1444</v>
      </c>
      <c r="D1004" s="1206" t="s">
        <v>1673</v>
      </c>
      <c r="E1004" s="1207">
        <v>4000</v>
      </c>
      <c r="F1004" s="1208" t="s">
        <v>3194</v>
      </c>
      <c r="G1004" s="1206" t="s">
        <v>3195</v>
      </c>
      <c r="H1004" s="1206" t="s">
        <v>1673</v>
      </c>
      <c r="I1004" s="1209" t="s">
        <v>2940</v>
      </c>
      <c r="J1004" s="1206" t="s">
        <v>1673</v>
      </c>
      <c r="K1004" s="1205">
        <v>0</v>
      </c>
      <c r="L1004" s="1205">
        <v>0</v>
      </c>
      <c r="M1004" s="1207">
        <v>0</v>
      </c>
      <c r="N1004" s="1205">
        <v>1</v>
      </c>
      <c r="O1004" s="1205">
        <v>1</v>
      </c>
      <c r="P1004" s="1207">
        <v>4000</v>
      </c>
    </row>
    <row r="1005" spans="1:16" x14ac:dyDescent="0.2">
      <c r="A1005" s="1204" t="s">
        <v>2937</v>
      </c>
      <c r="B1005" s="1205" t="s">
        <v>2334</v>
      </c>
      <c r="C1005" s="1205" t="s">
        <v>1444</v>
      </c>
      <c r="D1005" s="1206" t="s">
        <v>1716</v>
      </c>
      <c r="E1005" s="1207">
        <v>1800</v>
      </c>
      <c r="F1005" s="1208" t="s">
        <v>3196</v>
      </c>
      <c r="G1005" s="1206" t="s">
        <v>3197</v>
      </c>
      <c r="H1005" s="1206" t="s">
        <v>1716</v>
      </c>
      <c r="I1005" s="1209" t="s">
        <v>2940</v>
      </c>
      <c r="J1005" s="1206" t="s">
        <v>1716</v>
      </c>
      <c r="K1005" s="1205">
        <v>1</v>
      </c>
      <c r="L1005" s="1205">
        <v>6</v>
      </c>
      <c r="M1005" s="1207">
        <v>10800</v>
      </c>
      <c r="N1005" s="1205">
        <v>1</v>
      </c>
      <c r="O1005" s="1205"/>
      <c r="P1005" s="1207">
        <v>0</v>
      </c>
    </row>
    <row r="1006" spans="1:16" x14ac:dyDescent="0.2">
      <c r="A1006" s="1204" t="s">
        <v>2937</v>
      </c>
      <c r="B1006" s="1205" t="s">
        <v>2334</v>
      </c>
      <c r="C1006" s="1205" t="s">
        <v>1444</v>
      </c>
      <c r="D1006" s="1206" t="s">
        <v>1716</v>
      </c>
      <c r="E1006" s="1207">
        <v>2500</v>
      </c>
      <c r="F1006" s="1208" t="s">
        <v>3198</v>
      </c>
      <c r="G1006" s="1206" t="s">
        <v>3199</v>
      </c>
      <c r="H1006" s="1206" t="s">
        <v>1716</v>
      </c>
      <c r="I1006" s="1209" t="s">
        <v>2940</v>
      </c>
      <c r="J1006" s="1206" t="s">
        <v>1716</v>
      </c>
      <c r="K1006" s="1205">
        <v>0</v>
      </c>
      <c r="L1006" s="1205">
        <v>0</v>
      </c>
      <c r="M1006" s="1207">
        <v>0</v>
      </c>
      <c r="N1006" s="1205">
        <v>1</v>
      </c>
      <c r="O1006" s="1205">
        <v>1</v>
      </c>
      <c r="P1006" s="1207">
        <v>2500</v>
      </c>
    </row>
    <row r="1007" spans="1:16" ht="12.75" x14ac:dyDescent="0.2">
      <c r="A1007" s="1204" t="s">
        <v>2937</v>
      </c>
      <c r="B1007" s="1205" t="s">
        <v>2334</v>
      </c>
      <c r="C1007" s="1205" t="s">
        <v>1444</v>
      </c>
      <c r="D1007" s="1206" t="s">
        <v>1651</v>
      </c>
      <c r="E1007" s="1207">
        <v>1200</v>
      </c>
      <c r="F1007" s="1208" t="s">
        <v>3200</v>
      </c>
      <c r="G1007" s="1206" t="s">
        <v>3201</v>
      </c>
      <c r="H1007" s="1206" t="s">
        <v>1651</v>
      </c>
      <c r="I1007" s="1209" t="s">
        <v>2940</v>
      </c>
      <c r="J1007" s="1206" t="s">
        <v>1651</v>
      </c>
      <c r="K1007" s="1205">
        <v>2</v>
      </c>
      <c r="L1007" s="1205">
        <v>6</v>
      </c>
      <c r="M1007" s="1207">
        <v>7200</v>
      </c>
      <c r="N1007" s="1210">
        <v>2</v>
      </c>
      <c r="O1007" s="1210">
        <v>6</v>
      </c>
      <c r="P1007" s="1211">
        <v>7200</v>
      </c>
    </row>
    <row r="1008" spans="1:16" x14ac:dyDescent="0.2">
      <c r="A1008" s="1204" t="s">
        <v>2937</v>
      </c>
      <c r="B1008" s="1205" t="s">
        <v>2334</v>
      </c>
      <c r="C1008" s="1205" t="s">
        <v>1444</v>
      </c>
      <c r="D1008" s="1206" t="s">
        <v>3145</v>
      </c>
      <c r="E1008" s="1207">
        <v>1060</v>
      </c>
      <c r="F1008" s="1208" t="s">
        <v>3202</v>
      </c>
      <c r="G1008" s="1206" t="s">
        <v>3203</v>
      </c>
      <c r="H1008" s="1206" t="s">
        <v>3145</v>
      </c>
      <c r="I1008" s="1209" t="s">
        <v>2940</v>
      </c>
      <c r="J1008" s="1206" t="s">
        <v>3145</v>
      </c>
      <c r="K1008" s="1205">
        <v>0</v>
      </c>
      <c r="L1008" s="1205">
        <v>0</v>
      </c>
      <c r="M1008" s="1207">
        <v>0</v>
      </c>
      <c r="N1008" s="1205">
        <v>1</v>
      </c>
      <c r="O1008" s="1205">
        <v>6</v>
      </c>
      <c r="P1008" s="1207">
        <v>6360</v>
      </c>
    </row>
    <row r="1009" spans="1:16" x14ac:dyDescent="0.2">
      <c r="A1009" s="1204" t="s">
        <v>2937</v>
      </c>
      <c r="B1009" s="1205" t="s">
        <v>2334</v>
      </c>
      <c r="C1009" s="1205" t="s">
        <v>1444</v>
      </c>
      <c r="D1009" s="1206" t="s">
        <v>1834</v>
      </c>
      <c r="E1009" s="1207">
        <v>6000</v>
      </c>
      <c r="F1009" s="1208" t="s">
        <v>3204</v>
      </c>
      <c r="G1009" s="1206" t="s">
        <v>3205</v>
      </c>
      <c r="H1009" s="1206" t="s">
        <v>1834</v>
      </c>
      <c r="I1009" s="1209" t="s">
        <v>2940</v>
      </c>
      <c r="J1009" s="1206" t="s">
        <v>1834</v>
      </c>
      <c r="K1009" s="1205">
        <v>0</v>
      </c>
      <c r="L1009" s="1205">
        <v>0</v>
      </c>
      <c r="M1009" s="1207">
        <v>0</v>
      </c>
      <c r="N1009" s="1205">
        <v>1</v>
      </c>
      <c r="O1009" s="1205">
        <v>6</v>
      </c>
      <c r="P1009" s="1207">
        <v>36000</v>
      </c>
    </row>
    <row r="1010" spans="1:16" x14ac:dyDescent="0.2">
      <c r="A1010" s="1204" t="s">
        <v>2937</v>
      </c>
      <c r="B1010" s="1205" t="s">
        <v>2334</v>
      </c>
      <c r="C1010" s="1205" t="s">
        <v>1444</v>
      </c>
      <c r="D1010" s="1206" t="s">
        <v>1651</v>
      </c>
      <c r="E1010" s="1207">
        <v>3000</v>
      </c>
      <c r="F1010" s="1208" t="s">
        <v>3206</v>
      </c>
      <c r="G1010" s="1206" t="s">
        <v>3207</v>
      </c>
      <c r="H1010" s="1206" t="s">
        <v>1651</v>
      </c>
      <c r="I1010" s="1209" t="s">
        <v>2940</v>
      </c>
      <c r="J1010" s="1206" t="s">
        <v>1651</v>
      </c>
      <c r="K1010" s="1205">
        <v>0</v>
      </c>
      <c r="L1010" s="1205">
        <v>0</v>
      </c>
      <c r="M1010" s="1207">
        <v>0</v>
      </c>
      <c r="N1010" s="1205">
        <v>1</v>
      </c>
      <c r="O1010" s="1205">
        <v>3</v>
      </c>
      <c r="P1010" s="1207">
        <v>9000</v>
      </c>
    </row>
    <row r="1011" spans="1:16" x14ac:dyDescent="0.2">
      <c r="A1011" s="1204" t="s">
        <v>2937</v>
      </c>
      <c r="B1011" s="1205" t="s">
        <v>2334</v>
      </c>
      <c r="C1011" s="1205" t="s">
        <v>1444</v>
      </c>
      <c r="D1011" s="1206" t="s">
        <v>2337</v>
      </c>
      <c r="E1011" s="1207">
        <v>2200</v>
      </c>
      <c r="F1011" s="1208" t="s">
        <v>3208</v>
      </c>
      <c r="G1011" s="1206" t="s">
        <v>3209</v>
      </c>
      <c r="H1011" s="1206" t="s">
        <v>2337</v>
      </c>
      <c r="I1011" s="1209" t="s">
        <v>2940</v>
      </c>
      <c r="J1011" s="1206" t="s">
        <v>2337</v>
      </c>
      <c r="K1011" s="1205">
        <v>5</v>
      </c>
      <c r="L1011" s="1205">
        <v>6</v>
      </c>
      <c r="M1011" s="1207">
        <v>13200</v>
      </c>
      <c r="N1011" s="1205">
        <v>5</v>
      </c>
      <c r="O1011" s="1205">
        <v>6</v>
      </c>
      <c r="P1011" s="1207">
        <v>13200</v>
      </c>
    </row>
    <row r="1012" spans="1:16" ht="12.75" x14ac:dyDescent="0.2">
      <c r="A1012" s="1204" t="s">
        <v>2937</v>
      </c>
      <c r="B1012" s="1205" t="s">
        <v>2334</v>
      </c>
      <c r="C1012" s="1205" t="s">
        <v>1444</v>
      </c>
      <c r="D1012" s="1206" t="s">
        <v>1651</v>
      </c>
      <c r="E1012" s="1207">
        <v>1200</v>
      </c>
      <c r="F1012" s="1208" t="s">
        <v>3210</v>
      </c>
      <c r="G1012" s="1206" t="s">
        <v>3211</v>
      </c>
      <c r="H1012" s="1206" t="s">
        <v>1651</v>
      </c>
      <c r="I1012" s="1209" t="s">
        <v>2940</v>
      </c>
      <c r="J1012" s="1206" t="s">
        <v>1651</v>
      </c>
      <c r="K1012" s="1205">
        <v>2</v>
      </c>
      <c r="L1012" s="1205">
        <v>6</v>
      </c>
      <c r="M1012" s="1207">
        <v>7200</v>
      </c>
      <c r="N1012" s="1210">
        <v>2</v>
      </c>
      <c r="O1012" s="1210">
        <v>6</v>
      </c>
      <c r="P1012" s="1211">
        <v>7200</v>
      </c>
    </row>
    <row r="1013" spans="1:16" x14ac:dyDescent="0.2">
      <c r="A1013" s="1204" t="s">
        <v>2937</v>
      </c>
      <c r="B1013" s="1205" t="s">
        <v>2334</v>
      </c>
      <c r="C1013" s="1205" t="s">
        <v>1444</v>
      </c>
      <c r="D1013" s="1206" t="s">
        <v>2565</v>
      </c>
      <c r="E1013" s="1207">
        <v>1200</v>
      </c>
      <c r="F1013" s="1208" t="s">
        <v>3212</v>
      </c>
      <c r="G1013" s="1206" t="s">
        <v>3213</v>
      </c>
      <c r="H1013" s="1206" t="s">
        <v>2565</v>
      </c>
      <c r="I1013" s="1209" t="s">
        <v>2940</v>
      </c>
      <c r="J1013" s="1206" t="s">
        <v>2565</v>
      </c>
      <c r="K1013" s="1205">
        <v>3</v>
      </c>
      <c r="L1013" s="1205">
        <v>6</v>
      </c>
      <c r="M1013" s="1207">
        <v>7200</v>
      </c>
      <c r="N1013" s="1205">
        <v>3</v>
      </c>
      <c r="O1013" s="1205">
        <v>6</v>
      </c>
      <c r="P1013" s="1207">
        <v>7200</v>
      </c>
    </row>
    <row r="1014" spans="1:16" x14ac:dyDescent="0.2">
      <c r="A1014" s="1204" t="s">
        <v>2937</v>
      </c>
      <c r="B1014" s="1205" t="s">
        <v>2334</v>
      </c>
      <c r="C1014" s="1205" t="s">
        <v>1444</v>
      </c>
      <c r="D1014" s="1206" t="s">
        <v>2470</v>
      </c>
      <c r="E1014" s="1207">
        <v>5000</v>
      </c>
      <c r="F1014" s="1208" t="s">
        <v>3214</v>
      </c>
      <c r="G1014" s="1206" t="s">
        <v>3215</v>
      </c>
      <c r="H1014" s="1206" t="s">
        <v>2470</v>
      </c>
      <c r="I1014" s="1209" t="s">
        <v>2940</v>
      </c>
      <c r="J1014" s="1206" t="s">
        <v>2470</v>
      </c>
      <c r="K1014" s="1205">
        <v>3</v>
      </c>
      <c r="L1014" s="1205">
        <v>6</v>
      </c>
      <c r="M1014" s="1207">
        <v>30000</v>
      </c>
      <c r="N1014" s="1205">
        <v>3</v>
      </c>
      <c r="O1014" s="1205">
        <v>6</v>
      </c>
      <c r="P1014" s="1207">
        <v>30000</v>
      </c>
    </row>
    <row r="1015" spans="1:16" x14ac:dyDescent="0.2">
      <c r="A1015" s="1204" t="s">
        <v>2937</v>
      </c>
      <c r="B1015" s="1205" t="s">
        <v>2334</v>
      </c>
      <c r="C1015" s="1205" t="s">
        <v>1444</v>
      </c>
      <c r="D1015" s="1206" t="s">
        <v>1651</v>
      </c>
      <c r="E1015" s="1207">
        <v>3000</v>
      </c>
      <c r="F1015" s="1208" t="s">
        <v>3216</v>
      </c>
      <c r="G1015" s="1206" t="s">
        <v>3217</v>
      </c>
      <c r="H1015" s="1206" t="s">
        <v>1651</v>
      </c>
      <c r="I1015" s="1209" t="s">
        <v>2940</v>
      </c>
      <c r="J1015" s="1206" t="s">
        <v>1651</v>
      </c>
      <c r="K1015" s="1205">
        <v>0</v>
      </c>
      <c r="L1015" s="1205">
        <v>0</v>
      </c>
      <c r="M1015" s="1207">
        <v>0</v>
      </c>
      <c r="N1015" s="1205">
        <v>1</v>
      </c>
      <c r="O1015" s="1205">
        <v>3</v>
      </c>
      <c r="P1015" s="1207">
        <v>9000</v>
      </c>
    </row>
    <row r="1016" spans="1:16" x14ac:dyDescent="0.2">
      <c r="A1016" s="1204" t="s">
        <v>2937</v>
      </c>
      <c r="B1016" s="1205" t="s">
        <v>2334</v>
      </c>
      <c r="C1016" s="1205" t="s">
        <v>1444</v>
      </c>
      <c r="D1016" s="1206" t="s">
        <v>2337</v>
      </c>
      <c r="E1016" s="1207">
        <v>2200</v>
      </c>
      <c r="F1016" s="1208" t="s">
        <v>3218</v>
      </c>
      <c r="G1016" s="1206" t="s">
        <v>3219</v>
      </c>
      <c r="H1016" s="1206" t="s">
        <v>2337</v>
      </c>
      <c r="I1016" s="1209" t="s">
        <v>2940</v>
      </c>
      <c r="J1016" s="1206" t="s">
        <v>2337</v>
      </c>
      <c r="K1016" s="1205">
        <v>5</v>
      </c>
      <c r="L1016" s="1205">
        <v>6</v>
      </c>
      <c r="M1016" s="1207">
        <v>13200</v>
      </c>
      <c r="N1016" s="1205">
        <v>5</v>
      </c>
      <c r="O1016" s="1205">
        <v>6</v>
      </c>
      <c r="P1016" s="1207">
        <v>13200</v>
      </c>
    </row>
    <row r="1017" spans="1:16" x14ac:dyDescent="0.2">
      <c r="A1017" s="1204" t="s">
        <v>2937</v>
      </c>
      <c r="B1017" s="1205" t="s">
        <v>2334</v>
      </c>
      <c r="C1017" s="1205" t="s">
        <v>1444</v>
      </c>
      <c r="D1017" s="1206" t="s">
        <v>1651</v>
      </c>
      <c r="E1017" s="1207">
        <v>3000</v>
      </c>
      <c r="F1017" s="1208" t="s">
        <v>3220</v>
      </c>
      <c r="G1017" s="1206" t="s">
        <v>3221</v>
      </c>
      <c r="H1017" s="1206" t="s">
        <v>1651</v>
      </c>
      <c r="I1017" s="1209" t="s">
        <v>2940</v>
      </c>
      <c r="J1017" s="1206" t="s">
        <v>1651</v>
      </c>
      <c r="K1017" s="1205">
        <v>0</v>
      </c>
      <c r="L1017" s="1205">
        <v>0</v>
      </c>
      <c r="M1017" s="1207">
        <v>0</v>
      </c>
      <c r="N1017" s="1205">
        <v>1</v>
      </c>
      <c r="O1017" s="1205">
        <v>1</v>
      </c>
      <c r="P1017" s="1207">
        <v>3000</v>
      </c>
    </row>
    <row r="1018" spans="1:16" x14ac:dyDescent="0.2">
      <c r="A1018" s="1204" t="s">
        <v>2937</v>
      </c>
      <c r="B1018" s="1205" t="s">
        <v>2334</v>
      </c>
      <c r="C1018" s="1205" t="s">
        <v>1444</v>
      </c>
      <c r="D1018" s="1206" t="s">
        <v>1834</v>
      </c>
      <c r="E1018" s="1207">
        <v>6000</v>
      </c>
      <c r="F1018" s="1208" t="s">
        <v>3222</v>
      </c>
      <c r="G1018" s="1206" t="s">
        <v>3223</v>
      </c>
      <c r="H1018" s="1206" t="s">
        <v>1834</v>
      </c>
      <c r="I1018" s="1209" t="s">
        <v>2940</v>
      </c>
      <c r="J1018" s="1206" t="s">
        <v>1834</v>
      </c>
      <c r="K1018" s="1205">
        <v>1</v>
      </c>
      <c r="L1018" s="1205">
        <v>6</v>
      </c>
      <c r="M1018" s="1207">
        <v>36000</v>
      </c>
      <c r="N1018" s="1205">
        <v>1</v>
      </c>
      <c r="O1018" s="1205"/>
      <c r="P1018" s="1207">
        <v>0</v>
      </c>
    </row>
    <row r="1019" spans="1:16" x14ac:dyDescent="0.2">
      <c r="A1019" s="1204" t="s">
        <v>2937</v>
      </c>
      <c r="B1019" s="1205" t="s">
        <v>2334</v>
      </c>
      <c r="C1019" s="1205" t="s">
        <v>1444</v>
      </c>
      <c r="D1019" s="1206" t="s">
        <v>2337</v>
      </c>
      <c r="E1019" s="1207">
        <v>2200</v>
      </c>
      <c r="F1019" s="1208" t="s">
        <v>3224</v>
      </c>
      <c r="G1019" s="1206" t="s">
        <v>3225</v>
      </c>
      <c r="H1019" s="1206" t="s">
        <v>2337</v>
      </c>
      <c r="I1019" s="1209" t="s">
        <v>2940</v>
      </c>
      <c r="J1019" s="1206" t="s">
        <v>2337</v>
      </c>
      <c r="K1019" s="1205">
        <v>2</v>
      </c>
      <c r="L1019" s="1205">
        <v>6</v>
      </c>
      <c r="M1019" s="1207">
        <v>13200</v>
      </c>
      <c r="N1019" s="1205">
        <v>2</v>
      </c>
      <c r="O1019" s="1205">
        <v>6</v>
      </c>
      <c r="P1019" s="1207">
        <v>13200</v>
      </c>
    </row>
    <row r="1020" spans="1:16" x14ac:dyDescent="0.2">
      <c r="A1020" s="1204" t="s">
        <v>2937</v>
      </c>
      <c r="B1020" s="1205" t="s">
        <v>2334</v>
      </c>
      <c r="C1020" s="1205" t="s">
        <v>1444</v>
      </c>
      <c r="D1020" s="1206" t="s">
        <v>1656</v>
      </c>
      <c r="E1020" s="1207">
        <v>2500</v>
      </c>
      <c r="F1020" s="1208" t="s">
        <v>3226</v>
      </c>
      <c r="G1020" s="1206" t="s">
        <v>3227</v>
      </c>
      <c r="H1020" s="1206" t="s">
        <v>1656</v>
      </c>
      <c r="I1020" s="1209" t="s">
        <v>2940</v>
      </c>
      <c r="J1020" s="1206" t="s">
        <v>1656</v>
      </c>
      <c r="K1020" s="1205">
        <v>0</v>
      </c>
      <c r="L1020" s="1205">
        <v>0</v>
      </c>
      <c r="M1020" s="1207">
        <v>0</v>
      </c>
      <c r="N1020" s="1205">
        <v>1</v>
      </c>
      <c r="O1020" s="1205">
        <v>1</v>
      </c>
      <c r="P1020" s="1207">
        <v>2500</v>
      </c>
    </row>
    <row r="1021" spans="1:16" x14ac:dyDescent="0.2">
      <c r="A1021" s="1204" t="s">
        <v>2937</v>
      </c>
      <c r="B1021" s="1205" t="s">
        <v>2334</v>
      </c>
      <c r="C1021" s="1205" t="s">
        <v>1444</v>
      </c>
      <c r="D1021" s="1206" t="s">
        <v>1834</v>
      </c>
      <c r="E1021" s="1207">
        <v>8000</v>
      </c>
      <c r="F1021" s="1208" t="s">
        <v>3228</v>
      </c>
      <c r="G1021" s="1206" t="s">
        <v>3229</v>
      </c>
      <c r="H1021" s="1206" t="s">
        <v>1834</v>
      </c>
      <c r="I1021" s="1209" t="s">
        <v>2940</v>
      </c>
      <c r="J1021" s="1206" t="s">
        <v>1834</v>
      </c>
      <c r="K1021" s="1205">
        <v>0</v>
      </c>
      <c r="L1021" s="1205">
        <v>0</v>
      </c>
      <c r="M1021" s="1207">
        <v>0</v>
      </c>
      <c r="N1021" s="1205">
        <v>1</v>
      </c>
      <c r="O1021" s="1205">
        <v>1</v>
      </c>
      <c r="P1021" s="1207">
        <v>8000</v>
      </c>
    </row>
    <row r="1022" spans="1:16" x14ac:dyDescent="0.2">
      <c r="A1022" s="1204" t="s">
        <v>2937</v>
      </c>
      <c r="B1022" s="1205" t="s">
        <v>2334</v>
      </c>
      <c r="C1022" s="1205" t="s">
        <v>1444</v>
      </c>
      <c r="D1022" s="1206" t="s">
        <v>2565</v>
      </c>
      <c r="E1022" s="1207">
        <v>1060</v>
      </c>
      <c r="F1022" s="1208" t="s">
        <v>3230</v>
      </c>
      <c r="G1022" s="1206" t="s">
        <v>3231</v>
      </c>
      <c r="H1022" s="1206" t="s">
        <v>2565</v>
      </c>
      <c r="I1022" s="1209" t="s">
        <v>2940</v>
      </c>
      <c r="J1022" s="1206" t="s">
        <v>2565</v>
      </c>
      <c r="K1022" s="1205">
        <v>2</v>
      </c>
      <c r="L1022" s="1205">
        <v>6</v>
      </c>
      <c r="M1022" s="1207">
        <v>6750</v>
      </c>
      <c r="N1022" s="1205">
        <v>2</v>
      </c>
      <c r="O1022" s="1205">
        <v>6</v>
      </c>
      <c r="P1022" s="1207">
        <v>6750</v>
      </c>
    </row>
    <row r="1023" spans="1:16" x14ac:dyDescent="0.2">
      <c r="A1023" s="1204" t="s">
        <v>2937</v>
      </c>
      <c r="B1023" s="1205" t="s">
        <v>2334</v>
      </c>
      <c r="C1023" s="1205" t="s">
        <v>1444</v>
      </c>
      <c r="D1023" s="1206" t="s">
        <v>1758</v>
      </c>
      <c r="E1023" s="1207">
        <v>2200</v>
      </c>
      <c r="F1023" s="1208" t="s">
        <v>3232</v>
      </c>
      <c r="G1023" s="1206" t="s">
        <v>3233</v>
      </c>
      <c r="H1023" s="1206" t="s">
        <v>1758</v>
      </c>
      <c r="I1023" s="1209" t="s">
        <v>2940</v>
      </c>
      <c r="J1023" s="1206" t="s">
        <v>1758</v>
      </c>
      <c r="K1023" s="1205">
        <v>2</v>
      </c>
      <c r="L1023" s="1205">
        <v>6</v>
      </c>
      <c r="M1023" s="1207">
        <v>13200</v>
      </c>
      <c r="N1023" s="1205">
        <v>2</v>
      </c>
      <c r="O1023" s="1205">
        <v>6</v>
      </c>
      <c r="P1023" s="1207">
        <v>13200</v>
      </c>
    </row>
    <row r="1024" spans="1:16" x14ac:dyDescent="0.2">
      <c r="A1024" s="1204" t="s">
        <v>2937</v>
      </c>
      <c r="B1024" s="1205" t="s">
        <v>2334</v>
      </c>
      <c r="C1024" s="1205" t="s">
        <v>1444</v>
      </c>
      <c r="D1024" s="1206" t="s">
        <v>2565</v>
      </c>
      <c r="E1024" s="1207">
        <v>1200</v>
      </c>
      <c r="F1024" s="1208" t="s">
        <v>3234</v>
      </c>
      <c r="G1024" s="1206" t="s">
        <v>3235</v>
      </c>
      <c r="H1024" s="1206" t="s">
        <v>2565</v>
      </c>
      <c r="I1024" s="1209" t="s">
        <v>2940</v>
      </c>
      <c r="J1024" s="1206" t="s">
        <v>2565</v>
      </c>
      <c r="K1024" s="1205">
        <v>3</v>
      </c>
      <c r="L1024" s="1205">
        <v>6</v>
      </c>
      <c r="M1024" s="1207">
        <v>7200</v>
      </c>
      <c r="N1024" s="1205">
        <v>3</v>
      </c>
      <c r="O1024" s="1205">
        <v>6</v>
      </c>
      <c r="P1024" s="1207">
        <v>7200</v>
      </c>
    </row>
    <row r="1025" spans="1:16" x14ac:dyDescent="0.2">
      <c r="A1025" s="1204" t="s">
        <v>2937</v>
      </c>
      <c r="B1025" s="1205" t="s">
        <v>2334</v>
      </c>
      <c r="C1025" s="1205" t="s">
        <v>1444</v>
      </c>
      <c r="D1025" s="1206" t="s">
        <v>1651</v>
      </c>
      <c r="E1025" s="1207">
        <v>1125</v>
      </c>
      <c r="F1025" s="1208" t="s">
        <v>3236</v>
      </c>
      <c r="G1025" s="1206" t="s">
        <v>3237</v>
      </c>
      <c r="H1025" s="1206" t="s">
        <v>1651</v>
      </c>
      <c r="I1025" s="1209" t="s">
        <v>2940</v>
      </c>
      <c r="J1025" s="1206" t="s">
        <v>1651</v>
      </c>
      <c r="K1025" s="1205">
        <v>2</v>
      </c>
      <c r="L1025" s="1205">
        <v>6</v>
      </c>
      <c r="M1025" s="1207">
        <v>6750</v>
      </c>
      <c r="N1025" s="1205">
        <v>2</v>
      </c>
      <c r="O1025" s="1205">
        <v>6</v>
      </c>
      <c r="P1025" s="1207">
        <v>6750</v>
      </c>
    </row>
    <row r="1026" spans="1:16" ht="12.75" x14ac:dyDescent="0.2">
      <c r="A1026" s="1204" t="s">
        <v>2937</v>
      </c>
      <c r="B1026" s="1205" t="s">
        <v>2334</v>
      </c>
      <c r="C1026" s="1205" t="s">
        <v>1444</v>
      </c>
      <c r="D1026" s="1206" t="s">
        <v>2337</v>
      </c>
      <c r="E1026" s="1207">
        <v>2200</v>
      </c>
      <c r="F1026" s="1208" t="s">
        <v>3238</v>
      </c>
      <c r="G1026" s="1206" t="s">
        <v>3239</v>
      </c>
      <c r="H1026" s="1206" t="s">
        <v>2337</v>
      </c>
      <c r="I1026" s="1209" t="s">
        <v>2940</v>
      </c>
      <c r="J1026" s="1206" t="s">
        <v>2337</v>
      </c>
      <c r="K1026" s="1205">
        <v>2</v>
      </c>
      <c r="L1026" s="1205">
        <v>6</v>
      </c>
      <c r="M1026" s="1207">
        <v>13200</v>
      </c>
      <c r="N1026" s="1210">
        <v>2</v>
      </c>
      <c r="O1026" s="1210">
        <v>6</v>
      </c>
      <c r="P1026" s="1211">
        <v>13200</v>
      </c>
    </row>
    <row r="1027" spans="1:16" x14ac:dyDescent="0.2">
      <c r="A1027" s="1204" t="s">
        <v>2937</v>
      </c>
      <c r="B1027" s="1205" t="s">
        <v>2334</v>
      </c>
      <c r="C1027" s="1205" t="s">
        <v>1444</v>
      </c>
      <c r="D1027" s="1206" t="s">
        <v>1651</v>
      </c>
      <c r="E1027" s="1207">
        <v>3000</v>
      </c>
      <c r="F1027" s="1208" t="s">
        <v>3240</v>
      </c>
      <c r="G1027" s="1206" t="s">
        <v>3241</v>
      </c>
      <c r="H1027" s="1206" t="s">
        <v>1651</v>
      </c>
      <c r="I1027" s="1209" t="s">
        <v>2940</v>
      </c>
      <c r="J1027" s="1206" t="s">
        <v>1651</v>
      </c>
      <c r="K1027" s="1205">
        <v>0</v>
      </c>
      <c r="L1027" s="1205">
        <v>0</v>
      </c>
      <c r="M1027" s="1207">
        <v>0</v>
      </c>
      <c r="N1027" s="1205">
        <v>1</v>
      </c>
      <c r="O1027" s="1205">
        <v>1</v>
      </c>
      <c r="P1027" s="1207">
        <v>3000</v>
      </c>
    </row>
    <row r="1028" spans="1:16" x14ac:dyDescent="0.2">
      <c r="A1028" s="1204" t="s">
        <v>2937</v>
      </c>
      <c r="B1028" s="1205" t="s">
        <v>2334</v>
      </c>
      <c r="C1028" s="1205" t="s">
        <v>1444</v>
      </c>
      <c r="D1028" s="1206" t="s">
        <v>2337</v>
      </c>
      <c r="E1028" s="1207">
        <v>4000</v>
      </c>
      <c r="F1028" s="1208" t="s">
        <v>3242</v>
      </c>
      <c r="G1028" s="1206" t="s">
        <v>3243</v>
      </c>
      <c r="H1028" s="1206" t="s">
        <v>2337</v>
      </c>
      <c r="I1028" s="1209" t="s">
        <v>2940</v>
      </c>
      <c r="J1028" s="1206" t="s">
        <v>2337</v>
      </c>
      <c r="K1028" s="1205">
        <v>0</v>
      </c>
      <c r="L1028" s="1205">
        <v>0</v>
      </c>
      <c r="M1028" s="1207">
        <v>0</v>
      </c>
      <c r="N1028" s="1205">
        <v>1</v>
      </c>
      <c r="O1028" s="1205">
        <v>3</v>
      </c>
      <c r="P1028" s="1207">
        <v>12000</v>
      </c>
    </row>
    <row r="1029" spans="1:16" x14ac:dyDescent="0.2">
      <c r="A1029" s="1204" t="s">
        <v>2937</v>
      </c>
      <c r="B1029" s="1205" t="s">
        <v>2334</v>
      </c>
      <c r="C1029" s="1205" t="s">
        <v>1444</v>
      </c>
      <c r="D1029" s="1206" t="s">
        <v>3145</v>
      </c>
      <c r="E1029" s="1207">
        <v>1125</v>
      </c>
      <c r="F1029" s="1208" t="s">
        <v>3244</v>
      </c>
      <c r="G1029" s="1206" t="s">
        <v>3245</v>
      </c>
      <c r="H1029" s="1206" t="s">
        <v>3145</v>
      </c>
      <c r="I1029" s="1209" t="s">
        <v>2940</v>
      </c>
      <c r="J1029" s="1206" t="s">
        <v>3145</v>
      </c>
      <c r="K1029" s="1205">
        <v>9</v>
      </c>
      <c r="L1029" s="1205">
        <v>6</v>
      </c>
      <c r="M1029" s="1207">
        <v>6750</v>
      </c>
      <c r="N1029" s="1205">
        <v>9</v>
      </c>
      <c r="O1029" s="1205">
        <v>6</v>
      </c>
      <c r="P1029" s="1207">
        <v>6750</v>
      </c>
    </row>
    <row r="1030" spans="1:16" x14ac:dyDescent="0.2">
      <c r="A1030" s="1204" t="s">
        <v>2937</v>
      </c>
      <c r="B1030" s="1205" t="s">
        <v>2334</v>
      </c>
      <c r="C1030" s="1205" t="s">
        <v>1444</v>
      </c>
      <c r="D1030" s="1206" t="s">
        <v>1834</v>
      </c>
      <c r="E1030" s="1207">
        <v>8000</v>
      </c>
      <c r="F1030" s="1208" t="s">
        <v>3246</v>
      </c>
      <c r="G1030" s="1206" t="s">
        <v>3247</v>
      </c>
      <c r="H1030" s="1206" t="s">
        <v>1834</v>
      </c>
      <c r="I1030" s="1209" t="s">
        <v>2940</v>
      </c>
      <c r="J1030" s="1206" t="s">
        <v>1834</v>
      </c>
      <c r="K1030" s="1205">
        <v>0</v>
      </c>
      <c r="L1030" s="1205">
        <v>0</v>
      </c>
      <c r="M1030" s="1207">
        <v>0</v>
      </c>
      <c r="N1030" s="1205">
        <v>1</v>
      </c>
      <c r="O1030" s="1205">
        <v>1</v>
      </c>
      <c r="P1030" s="1207">
        <v>8000</v>
      </c>
    </row>
    <row r="1031" spans="1:16" x14ac:dyDescent="0.2">
      <c r="A1031" s="1204" t="s">
        <v>2937</v>
      </c>
      <c r="B1031" s="1205" t="s">
        <v>2334</v>
      </c>
      <c r="C1031" s="1205" t="s">
        <v>1444</v>
      </c>
      <c r="D1031" s="1206" t="s">
        <v>2337</v>
      </c>
      <c r="E1031" s="1207">
        <v>2200</v>
      </c>
      <c r="F1031" s="1208" t="s">
        <v>3248</v>
      </c>
      <c r="G1031" s="1206" t="s">
        <v>3249</v>
      </c>
      <c r="H1031" s="1206" t="s">
        <v>2337</v>
      </c>
      <c r="I1031" s="1209" t="s">
        <v>2940</v>
      </c>
      <c r="J1031" s="1206" t="s">
        <v>2337</v>
      </c>
      <c r="K1031" s="1205">
        <v>2</v>
      </c>
      <c r="L1031" s="1205">
        <v>6</v>
      </c>
      <c r="M1031" s="1207">
        <v>13200</v>
      </c>
      <c r="N1031" s="1205">
        <v>2</v>
      </c>
      <c r="O1031" s="1205">
        <v>6</v>
      </c>
      <c r="P1031" s="1207">
        <v>13200</v>
      </c>
    </row>
    <row r="1032" spans="1:16" x14ac:dyDescent="0.2">
      <c r="A1032" s="1204" t="s">
        <v>2937</v>
      </c>
      <c r="B1032" s="1205" t="s">
        <v>2334</v>
      </c>
      <c r="C1032" s="1205" t="s">
        <v>1444</v>
      </c>
      <c r="D1032" s="1206" t="s">
        <v>1744</v>
      </c>
      <c r="E1032" s="1207">
        <v>2200</v>
      </c>
      <c r="F1032" s="1208" t="s">
        <v>3250</v>
      </c>
      <c r="G1032" s="1206" t="s">
        <v>3251</v>
      </c>
      <c r="H1032" s="1206" t="s">
        <v>1744</v>
      </c>
      <c r="I1032" s="1209" t="s">
        <v>2940</v>
      </c>
      <c r="J1032" s="1206" t="s">
        <v>1744</v>
      </c>
      <c r="K1032" s="1205">
        <v>2</v>
      </c>
      <c r="L1032" s="1205">
        <v>6</v>
      </c>
      <c r="M1032" s="1207">
        <v>13200</v>
      </c>
      <c r="N1032" s="1205">
        <v>2</v>
      </c>
      <c r="O1032" s="1205">
        <v>6</v>
      </c>
      <c r="P1032" s="1207">
        <v>13200</v>
      </c>
    </row>
    <row r="1033" spans="1:16" x14ac:dyDescent="0.2">
      <c r="A1033" s="1204" t="s">
        <v>2937</v>
      </c>
      <c r="B1033" s="1205" t="s">
        <v>2334</v>
      </c>
      <c r="C1033" s="1205" t="s">
        <v>1444</v>
      </c>
      <c r="D1033" s="1206" t="s">
        <v>1716</v>
      </c>
      <c r="E1033" s="1207">
        <v>2500</v>
      </c>
      <c r="F1033" s="1208" t="s">
        <v>3252</v>
      </c>
      <c r="G1033" s="1206" t="s">
        <v>3253</v>
      </c>
      <c r="H1033" s="1206" t="s">
        <v>1716</v>
      </c>
      <c r="I1033" s="1209" t="s">
        <v>2940</v>
      </c>
      <c r="J1033" s="1206" t="s">
        <v>1716</v>
      </c>
      <c r="K1033" s="1205">
        <v>0</v>
      </c>
      <c r="L1033" s="1205">
        <v>0</v>
      </c>
      <c r="M1033" s="1207">
        <v>0</v>
      </c>
      <c r="N1033" s="1205">
        <v>1</v>
      </c>
      <c r="O1033" s="1205">
        <v>1</v>
      </c>
      <c r="P1033" s="1207">
        <v>2500</v>
      </c>
    </row>
    <row r="1034" spans="1:16" x14ac:dyDescent="0.2">
      <c r="A1034" s="1204" t="s">
        <v>2937</v>
      </c>
      <c r="B1034" s="1205" t="s">
        <v>2334</v>
      </c>
      <c r="C1034" s="1205" t="s">
        <v>1444</v>
      </c>
      <c r="D1034" s="1206" t="s">
        <v>2337</v>
      </c>
      <c r="E1034" s="1207">
        <v>2200</v>
      </c>
      <c r="F1034" s="1208" t="s">
        <v>3254</v>
      </c>
      <c r="G1034" s="1206" t="s">
        <v>3255</v>
      </c>
      <c r="H1034" s="1206" t="s">
        <v>2337</v>
      </c>
      <c r="I1034" s="1209" t="s">
        <v>2940</v>
      </c>
      <c r="J1034" s="1206" t="s">
        <v>2337</v>
      </c>
      <c r="K1034" s="1205">
        <v>1</v>
      </c>
      <c r="L1034" s="1205">
        <v>6</v>
      </c>
      <c r="M1034" s="1207">
        <v>13200</v>
      </c>
      <c r="N1034" s="1205">
        <v>1</v>
      </c>
      <c r="O1034" s="1205"/>
      <c r="P1034" s="1207">
        <v>0</v>
      </c>
    </row>
    <row r="1035" spans="1:16" x14ac:dyDescent="0.2">
      <c r="A1035" s="1204" t="s">
        <v>2937</v>
      </c>
      <c r="B1035" s="1205" t="s">
        <v>2334</v>
      </c>
      <c r="C1035" s="1205" t="s">
        <v>1444</v>
      </c>
      <c r="D1035" s="1206" t="s">
        <v>2337</v>
      </c>
      <c r="E1035" s="1207">
        <v>4000</v>
      </c>
      <c r="F1035" s="1208" t="s">
        <v>3256</v>
      </c>
      <c r="G1035" s="1206" t="s">
        <v>3257</v>
      </c>
      <c r="H1035" s="1206" t="s">
        <v>2337</v>
      </c>
      <c r="I1035" s="1209" t="s">
        <v>2940</v>
      </c>
      <c r="J1035" s="1206" t="s">
        <v>2337</v>
      </c>
      <c r="K1035" s="1205">
        <v>0</v>
      </c>
      <c r="L1035" s="1205">
        <v>0</v>
      </c>
      <c r="M1035" s="1207">
        <v>0</v>
      </c>
      <c r="N1035" s="1205">
        <v>1</v>
      </c>
      <c r="O1035" s="1205">
        <v>1</v>
      </c>
      <c r="P1035" s="1207">
        <v>4000</v>
      </c>
    </row>
    <row r="1036" spans="1:16" x14ac:dyDescent="0.2">
      <c r="A1036" s="1204" t="s">
        <v>2937</v>
      </c>
      <c r="B1036" s="1205" t="s">
        <v>2334</v>
      </c>
      <c r="C1036" s="1205" t="s">
        <v>1444</v>
      </c>
      <c r="D1036" s="1206" t="s">
        <v>1666</v>
      </c>
      <c r="E1036" s="1207">
        <v>2200</v>
      </c>
      <c r="F1036" s="1208" t="s">
        <v>3258</v>
      </c>
      <c r="G1036" s="1206" t="s">
        <v>3259</v>
      </c>
      <c r="H1036" s="1206" t="s">
        <v>1666</v>
      </c>
      <c r="I1036" s="1209" t="s">
        <v>2940</v>
      </c>
      <c r="J1036" s="1206" t="s">
        <v>1666</v>
      </c>
      <c r="K1036" s="1205">
        <v>2</v>
      </c>
      <c r="L1036" s="1205">
        <v>6</v>
      </c>
      <c r="M1036" s="1207">
        <v>13200</v>
      </c>
      <c r="N1036" s="1205">
        <v>2</v>
      </c>
      <c r="O1036" s="1205">
        <v>6</v>
      </c>
      <c r="P1036" s="1207">
        <v>13200</v>
      </c>
    </row>
    <row r="1037" spans="1:16" x14ac:dyDescent="0.2">
      <c r="A1037" s="1204" t="s">
        <v>2937</v>
      </c>
      <c r="B1037" s="1205" t="s">
        <v>2334</v>
      </c>
      <c r="C1037" s="1205" t="s">
        <v>1444</v>
      </c>
      <c r="D1037" s="1206" t="s">
        <v>2337</v>
      </c>
      <c r="E1037" s="1207">
        <v>4000</v>
      </c>
      <c r="F1037" s="1208" t="s">
        <v>3260</v>
      </c>
      <c r="G1037" s="1206" t="s">
        <v>3261</v>
      </c>
      <c r="H1037" s="1206" t="s">
        <v>2337</v>
      </c>
      <c r="I1037" s="1209" t="s">
        <v>2940</v>
      </c>
      <c r="J1037" s="1206" t="s">
        <v>2337</v>
      </c>
      <c r="K1037" s="1205">
        <v>0</v>
      </c>
      <c r="L1037" s="1205">
        <v>0</v>
      </c>
      <c r="M1037" s="1207">
        <v>0</v>
      </c>
      <c r="N1037" s="1205">
        <v>1</v>
      </c>
      <c r="O1037" s="1205">
        <v>3</v>
      </c>
      <c r="P1037" s="1207">
        <v>12000</v>
      </c>
    </row>
    <row r="1038" spans="1:16" x14ac:dyDescent="0.2">
      <c r="A1038" s="1204" t="s">
        <v>2937</v>
      </c>
      <c r="B1038" s="1205" t="s">
        <v>2334</v>
      </c>
      <c r="C1038" s="1205" t="s">
        <v>1444</v>
      </c>
      <c r="D1038" s="1206" t="s">
        <v>2047</v>
      </c>
      <c r="E1038" s="1207">
        <v>1125</v>
      </c>
      <c r="F1038" s="1208" t="s">
        <v>3262</v>
      </c>
      <c r="G1038" s="1206" t="s">
        <v>3263</v>
      </c>
      <c r="H1038" s="1206" t="s">
        <v>2047</v>
      </c>
      <c r="I1038" s="1209" t="s">
        <v>2940</v>
      </c>
      <c r="J1038" s="1206" t="s">
        <v>2047</v>
      </c>
      <c r="K1038" s="1205">
        <v>10</v>
      </c>
      <c r="L1038" s="1205">
        <v>6</v>
      </c>
      <c r="M1038" s="1207">
        <v>6750</v>
      </c>
      <c r="N1038" s="1205">
        <v>10</v>
      </c>
      <c r="O1038" s="1205">
        <v>6</v>
      </c>
      <c r="P1038" s="1207">
        <v>6750</v>
      </c>
    </row>
    <row r="1039" spans="1:16" x14ac:dyDescent="0.2">
      <c r="A1039" s="1204" t="s">
        <v>2937</v>
      </c>
      <c r="B1039" s="1205" t="s">
        <v>2334</v>
      </c>
      <c r="C1039" s="1205" t="s">
        <v>1444</v>
      </c>
      <c r="D1039" s="1206" t="s">
        <v>1651</v>
      </c>
      <c r="E1039" s="1207">
        <v>3000</v>
      </c>
      <c r="F1039" s="1208" t="s">
        <v>3264</v>
      </c>
      <c r="G1039" s="1206" t="s">
        <v>3265</v>
      </c>
      <c r="H1039" s="1206" t="s">
        <v>1651</v>
      </c>
      <c r="I1039" s="1209" t="s">
        <v>2940</v>
      </c>
      <c r="J1039" s="1206" t="s">
        <v>1651</v>
      </c>
      <c r="K1039" s="1205">
        <v>0</v>
      </c>
      <c r="L1039" s="1205">
        <v>0</v>
      </c>
      <c r="M1039" s="1207">
        <v>0</v>
      </c>
      <c r="N1039" s="1205">
        <v>1</v>
      </c>
      <c r="O1039" s="1205">
        <v>3</v>
      </c>
      <c r="P1039" s="1207">
        <v>9000</v>
      </c>
    </row>
    <row r="1040" spans="1:16" x14ac:dyDescent="0.2">
      <c r="A1040" s="1204" t="s">
        <v>2937</v>
      </c>
      <c r="B1040" s="1205" t="s">
        <v>2334</v>
      </c>
      <c r="C1040" s="1205" t="s">
        <v>1444</v>
      </c>
      <c r="D1040" s="1206" t="s">
        <v>1651</v>
      </c>
      <c r="E1040" s="1207">
        <v>3000</v>
      </c>
      <c r="F1040" s="1208" t="s">
        <v>3266</v>
      </c>
      <c r="G1040" s="1206" t="s">
        <v>3267</v>
      </c>
      <c r="H1040" s="1206" t="s">
        <v>1651</v>
      </c>
      <c r="I1040" s="1209" t="s">
        <v>2940</v>
      </c>
      <c r="J1040" s="1206" t="s">
        <v>1651</v>
      </c>
      <c r="K1040" s="1205">
        <v>0</v>
      </c>
      <c r="L1040" s="1205">
        <v>0</v>
      </c>
      <c r="M1040" s="1207">
        <v>0</v>
      </c>
      <c r="N1040" s="1205">
        <v>1</v>
      </c>
      <c r="O1040" s="1205">
        <v>3</v>
      </c>
      <c r="P1040" s="1207">
        <v>9000</v>
      </c>
    </row>
    <row r="1041" spans="1:16" x14ac:dyDescent="0.2">
      <c r="A1041" s="1204" t="s">
        <v>2937</v>
      </c>
      <c r="B1041" s="1205" t="s">
        <v>2334</v>
      </c>
      <c r="C1041" s="1205" t="s">
        <v>1444</v>
      </c>
      <c r="D1041" s="1206" t="s">
        <v>2337</v>
      </c>
      <c r="E1041" s="1207">
        <v>2200</v>
      </c>
      <c r="F1041" s="1208" t="s">
        <v>3268</v>
      </c>
      <c r="G1041" s="1206" t="s">
        <v>3269</v>
      </c>
      <c r="H1041" s="1206" t="s">
        <v>2337</v>
      </c>
      <c r="I1041" s="1209" t="s">
        <v>2940</v>
      </c>
      <c r="J1041" s="1206" t="s">
        <v>2337</v>
      </c>
      <c r="K1041" s="1205">
        <v>1</v>
      </c>
      <c r="L1041" s="1205">
        <v>6</v>
      </c>
      <c r="M1041" s="1207">
        <v>13200</v>
      </c>
      <c r="N1041" s="1205">
        <v>1</v>
      </c>
      <c r="O1041" s="1205"/>
      <c r="P1041" s="1207">
        <v>0</v>
      </c>
    </row>
    <row r="1042" spans="1:16" x14ac:dyDescent="0.2">
      <c r="A1042" s="1204" t="s">
        <v>2937</v>
      </c>
      <c r="B1042" s="1205" t="s">
        <v>2334</v>
      </c>
      <c r="C1042" s="1205" t="s">
        <v>1444</v>
      </c>
      <c r="D1042" s="1206" t="s">
        <v>3270</v>
      </c>
      <c r="E1042" s="1207">
        <v>1800</v>
      </c>
      <c r="F1042" s="1208" t="s">
        <v>3271</v>
      </c>
      <c r="G1042" s="1206" t="s">
        <v>3272</v>
      </c>
      <c r="H1042" s="1206" t="s">
        <v>3270</v>
      </c>
      <c r="I1042" s="1209" t="s">
        <v>2940</v>
      </c>
      <c r="J1042" s="1206" t="s">
        <v>3270</v>
      </c>
      <c r="K1042" s="1205">
        <v>0</v>
      </c>
      <c r="L1042" s="1205">
        <v>0</v>
      </c>
      <c r="M1042" s="1207">
        <v>0</v>
      </c>
      <c r="N1042" s="1205">
        <v>1</v>
      </c>
      <c r="O1042" s="1205">
        <v>6</v>
      </c>
      <c r="P1042" s="1207">
        <v>10800</v>
      </c>
    </row>
    <row r="1043" spans="1:16" x14ac:dyDescent="0.2">
      <c r="A1043" s="1204" t="s">
        <v>2937</v>
      </c>
      <c r="B1043" s="1205" t="s">
        <v>2334</v>
      </c>
      <c r="C1043" s="1205" t="s">
        <v>1444</v>
      </c>
      <c r="D1043" s="1206" t="s">
        <v>2337</v>
      </c>
      <c r="E1043" s="1207">
        <v>2200</v>
      </c>
      <c r="F1043" s="1208" t="s">
        <v>3273</v>
      </c>
      <c r="G1043" s="1206" t="s">
        <v>3274</v>
      </c>
      <c r="H1043" s="1206" t="s">
        <v>2337</v>
      </c>
      <c r="I1043" s="1209" t="s">
        <v>2940</v>
      </c>
      <c r="J1043" s="1206" t="s">
        <v>2337</v>
      </c>
      <c r="K1043" s="1205">
        <v>2</v>
      </c>
      <c r="L1043" s="1205">
        <v>6</v>
      </c>
      <c r="M1043" s="1207">
        <v>13200</v>
      </c>
      <c r="N1043" s="1205">
        <v>2</v>
      </c>
      <c r="O1043" s="1205">
        <v>6</v>
      </c>
      <c r="P1043" s="1207">
        <v>13200</v>
      </c>
    </row>
    <row r="1044" spans="1:16" x14ac:dyDescent="0.2">
      <c r="A1044" s="1204" t="s">
        <v>2937</v>
      </c>
      <c r="B1044" s="1205" t="s">
        <v>2334</v>
      </c>
      <c r="C1044" s="1205" t="s">
        <v>1444</v>
      </c>
      <c r="D1044" s="1206" t="s">
        <v>2337</v>
      </c>
      <c r="E1044" s="1207">
        <v>4000</v>
      </c>
      <c r="F1044" s="1208" t="s">
        <v>3275</v>
      </c>
      <c r="G1044" s="1206" t="s">
        <v>3276</v>
      </c>
      <c r="H1044" s="1206" t="s">
        <v>2337</v>
      </c>
      <c r="I1044" s="1209" t="s">
        <v>2940</v>
      </c>
      <c r="J1044" s="1206" t="s">
        <v>2337</v>
      </c>
      <c r="K1044" s="1205">
        <v>0</v>
      </c>
      <c r="L1044" s="1205">
        <v>0</v>
      </c>
      <c r="M1044" s="1207">
        <v>0</v>
      </c>
      <c r="N1044" s="1205">
        <v>1</v>
      </c>
      <c r="O1044" s="1205">
        <v>2</v>
      </c>
      <c r="P1044" s="1207">
        <v>8000</v>
      </c>
    </row>
    <row r="1045" spans="1:16" x14ac:dyDescent="0.2">
      <c r="A1045" s="1204" t="s">
        <v>2937</v>
      </c>
      <c r="B1045" s="1205" t="s">
        <v>2334</v>
      </c>
      <c r="C1045" s="1205" t="s">
        <v>1444</v>
      </c>
      <c r="D1045" s="1206" t="s">
        <v>1651</v>
      </c>
      <c r="E1045" s="1207">
        <v>1125</v>
      </c>
      <c r="F1045" s="1208" t="s">
        <v>3277</v>
      </c>
      <c r="G1045" s="1206" t="s">
        <v>3278</v>
      </c>
      <c r="H1045" s="1206" t="s">
        <v>1651</v>
      </c>
      <c r="I1045" s="1209" t="s">
        <v>2940</v>
      </c>
      <c r="J1045" s="1206" t="s">
        <v>1651</v>
      </c>
      <c r="K1045" s="1205">
        <v>4</v>
      </c>
      <c r="L1045" s="1205">
        <v>6</v>
      </c>
      <c r="M1045" s="1207">
        <v>6750</v>
      </c>
      <c r="N1045" s="1205">
        <v>4</v>
      </c>
      <c r="O1045" s="1205">
        <v>6</v>
      </c>
      <c r="P1045" s="1207">
        <v>6750</v>
      </c>
    </row>
    <row r="1046" spans="1:16" x14ac:dyDescent="0.2">
      <c r="A1046" s="1204" t="s">
        <v>2937</v>
      </c>
      <c r="B1046" s="1205" t="s">
        <v>2334</v>
      </c>
      <c r="C1046" s="1205" t="s">
        <v>1444</v>
      </c>
      <c r="D1046" s="1206" t="s">
        <v>1716</v>
      </c>
      <c r="E1046" s="1207">
        <v>2500</v>
      </c>
      <c r="F1046" s="1208" t="s">
        <v>3279</v>
      </c>
      <c r="G1046" s="1206" t="s">
        <v>3280</v>
      </c>
      <c r="H1046" s="1206" t="s">
        <v>1716</v>
      </c>
      <c r="I1046" s="1209" t="s">
        <v>2940</v>
      </c>
      <c r="J1046" s="1206" t="s">
        <v>1716</v>
      </c>
      <c r="K1046" s="1205">
        <v>0</v>
      </c>
      <c r="L1046" s="1205">
        <v>0</v>
      </c>
      <c r="M1046" s="1207">
        <v>0</v>
      </c>
      <c r="N1046" s="1205">
        <v>1</v>
      </c>
      <c r="O1046" s="1205">
        <v>1</v>
      </c>
      <c r="P1046" s="1207">
        <v>2500</v>
      </c>
    </row>
    <row r="1047" spans="1:16" x14ac:dyDescent="0.2">
      <c r="A1047" s="1204" t="s">
        <v>2937</v>
      </c>
      <c r="B1047" s="1205" t="s">
        <v>2334</v>
      </c>
      <c r="C1047" s="1205" t="s">
        <v>1444</v>
      </c>
      <c r="D1047" s="1206" t="s">
        <v>1651</v>
      </c>
      <c r="E1047" s="1207">
        <v>1125</v>
      </c>
      <c r="F1047" s="1208" t="s">
        <v>3281</v>
      </c>
      <c r="G1047" s="1206" t="s">
        <v>3282</v>
      </c>
      <c r="H1047" s="1206" t="s">
        <v>1651</v>
      </c>
      <c r="I1047" s="1209" t="s">
        <v>2940</v>
      </c>
      <c r="J1047" s="1206" t="s">
        <v>1651</v>
      </c>
      <c r="K1047" s="1205">
        <v>2</v>
      </c>
      <c r="L1047" s="1205">
        <v>6</v>
      </c>
      <c r="M1047" s="1207">
        <v>6750</v>
      </c>
      <c r="N1047" s="1205">
        <v>2</v>
      </c>
      <c r="O1047" s="1205">
        <v>6</v>
      </c>
      <c r="P1047" s="1207">
        <v>6750</v>
      </c>
    </row>
    <row r="1048" spans="1:16" x14ac:dyDescent="0.2">
      <c r="A1048" s="1204" t="s">
        <v>2937</v>
      </c>
      <c r="B1048" s="1205" t="s">
        <v>2334</v>
      </c>
      <c r="C1048" s="1205" t="s">
        <v>1444</v>
      </c>
      <c r="D1048" s="1206" t="s">
        <v>1656</v>
      </c>
      <c r="E1048" s="1207">
        <v>2500</v>
      </c>
      <c r="F1048" s="1208" t="s">
        <v>3283</v>
      </c>
      <c r="G1048" s="1206" t="s">
        <v>3284</v>
      </c>
      <c r="H1048" s="1206" t="s">
        <v>1656</v>
      </c>
      <c r="I1048" s="1209" t="s">
        <v>2940</v>
      </c>
      <c r="J1048" s="1206" t="s">
        <v>1656</v>
      </c>
      <c r="K1048" s="1205">
        <v>0</v>
      </c>
      <c r="L1048" s="1205">
        <v>0</v>
      </c>
      <c r="M1048" s="1207">
        <v>0</v>
      </c>
      <c r="N1048" s="1205">
        <v>1</v>
      </c>
      <c r="O1048" s="1205">
        <v>1</v>
      </c>
      <c r="P1048" s="1207">
        <v>2500</v>
      </c>
    </row>
    <row r="1049" spans="1:16" x14ac:dyDescent="0.2">
      <c r="A1049" s="1204" t="s">
        <v>2937</v>
      </c>
      <c r="B1049" s="1205" t="s">
        <v>2334</v>
      </c>
      <c r="C1049" s="1205" t="s">
        <v>1444</v>
      </c>
      <c r="D1049" s="1206" t="s">
        <v>2337</v>
      </c>
      <c r="E1049" s="1207">
        <v>2200</v>
      </c>
      <c r="F1049" s="1208" t="s">
        <v>3285</v>
      </c>
      <c r="G1049" s="1206" t="s">
        <v>3286</v>
      </c>
      <c r="H1049" s="1206" t="s">
        <v>2337</v>
      </c>
      <c r="I1049" s="1209" t="s">
        <v>2940</v>
      </c>
      <c r="J1049" s="1206" t="s">
        <v>2337</v>
      </c>
      <c r="K1049" s="1205">
        <v>1</v>
      </c>
      <c r="L1049" s="1205">
        <v>6</v>
      </c>
      <c r="M1049" s="1207">
        <v>13200</v>
      </c>
      <c r="N1049" s="1205">
        <v>1</v>
      </c>
      <c r="O1049" s="1205"/>
      <c r="P1049" s="1207">
        <v>0</v>
      </c>
    </row>
    <row r="1050" spans="1:16" x14ac:dyDescent="0.2">
      <c r="A1050" s="1204" t="s">
        <v>2937</v>
      </c>
      <c r="B1050" s="1205" t="s">
        <v>2334</v>
      </c>
      <c r="C1050" s="1205" t="s">
        <v>1444</v>
      </c>
      <c r="D1050" s="1206" t="s">
        <v>3145</v>
      </c>
      <c r="E1050" s="1207">
        <v>1125</v>
      </c>
      <c r="F1050" s="1208" t="s">
        <v>3287</v>
      </c>
      <c r="G1050" s="1206" t="s">
        <v>3288</v>
      </c>
      <c r="H1050" s="1206" t="s">
        <v>3145</v>
      </c>
      <c r="I1050" s="1209" t="s">
        <v>2940</v>
      </c>
      <c r="J1050" s="1206" t="s">
        <v>3145</v>
      </c>
      <c r="K1050" s="1205">
        <v>0</v>
      </c>
      <c r="L1050" s="1205">
        <v>0</v>
      </c>
      <c r="M1050" s="1207">
        <v>0</v>
      </c>
      <c r="N1050" s="1205">
        <v>1</v>
      </c>
      <c r="O1050" s="1205">
        <v>6</v>
      </c>
      <c r="P1050" s="1207">
        <v>6750</v>
      </c>
    </row>
    <row r="1051" spans="1:16" x14ac:dyDescent="0.2">
      <c r="A1051" s="1204" t="s">
        <v>2937</v>
      </c>
      <c r="B1051" s="1205" t="s">
        <v>2334</v>
      </c>
      <c r="C1051" s="1205" t="s">
        <v>1444</v>
      </c>
      <c r="D1051" s="1206" t="s">
        <v>1666</v>
      </c>
      <c r="E1051" s="1207">
        <v>2200</v>
      </c>
      <c r="F1051" s="1208" t="s">
        <v>3289</v>
      </c>
      <c r="G1051" s="1206" t="s">
        <v>3290</v>
      </c>
      <c r="H1051" s="1206" t="s">
        <v>1666</v>
      </c>
      <c r="I1051" s="1209" t="s">
        <v>2940</v>
      </c>
      <c r="J1051" s="1206" t="s">
        <v>1666</v>
      </c>
      <c r="K1051" s="1205">
        <v>2</v>
      </c>
      <c r="L1051" s="1205">
        <v>6</v>
      </c>
      <c r="M1051" s="1207">
        <v>13200</v>
      </c>
      <c r="N1051" s="1205">
        <v>2</v>
      </c>
      <c r="O1051" s="1205">
        <v>6</v>
      </c>
      <c r="P1051" s="1207">
        <v>13200</v>
      </c>
    </row>
    <row r="1052" spans="1:16" x14ac:dyDescent="0.2">
      <c r="A1052" s="1204" t="s">
        <v>2937</v>
      </c>
      <c r="B1052" s="1205" t="s">
        <v>2334</v>
      </c>
      <c r="C1052" s="1205" t="s">
        <v>1444</v>
      </c>
      <c r="D1052" s="1206" t="s">
        <v>1651</v>
      </c>
      <c r="E1052" s="1207">
        <v>1200</v>
      </c>
      <c r="F1052" s="1208" t="s">
        <v>3291</v>
      </c>
      <c r="G1052" s="1206" t="s">
        <v>3292</v>
      </c>
      <c r="H1052" s="1206" t="s">
        <v>1651</v>
      </c>
      <c r="I1052" s="1209" t="s">
        <v>2940</v>
      </c>
      <c r="J1052" s="1206" t="s">
        <v>1651</v>
      </c>
      <c r="K1052" s="1205">
        <v>1</v>
      </c>
      <c r="L1052" s="1205">
        <v>6</v>
      </c>
      <c r="M1052" s="1207">
        <v>7200</v>
      </c>
      <c r="N1052" s="1205">
        <v>1</v>
      </c>
      <c r="O1052" s="1205"/>
      <c r="P1052" s="1207">
        <v>0</v>
      </c>
    </row>
    <row r="1053" spans="1:16" x14ac:dyDescent="0.2">
      <c r="A1053" s="1204" t="s">
        <v>2937</v>
      </c>
      <c r="B1053" s="1205" t="s">
        <v>2334</v>
      </c>
      <c r="C1053" s="1205" t="s">
        <v>1444</v>
      </c>
      <c r="D1053" s="1206" t="s">
        <v>1666</v>
      </c>
      <c r="E1053" s="1207">
        <v>2200</v>
      </c>
      <c r="F1053" s="1208" t="s">
        <v>3293</v>
      </c>
      <c r="G1053" s="1206" t="s">
        <v>3294</v>
      </c>
      <c r="H1053" s="1206" t="s">
        <v>1666</v>
      </c>
      <c r="I1053" s="1209" t="s">
        <v>2940</v>
      </c>
      <c r="J1053" s="1206" t="s">
        <v>1666</v>
      </c>
      <c r="K1053" s="1205">
        <v>2</v>
      </c>
      <c r="L1053" s="1205">
        <v>6</v>
      </c>
      <c r="M1053" s="1207">
        <v>13200</v>
      </c>
      <c r="N1053" s="1205">
        <v>2</v>
      </c>
      <c r="O1053" s="1205">
        <v>6</v>
      </c>
      <c r="P1053" s="1207">
        <v>13200</v>
      </c>
    </row>
    <row r="1054" spans="1:16" x14ac:dyDescent="0.2">
      <c r="A1054" s="1204" t="s">
        <v>2937</v>
      </c>
      <c r="B1054" s="1205" t="s">
        <v>2334</v>
      </c>
      <c r="C1054" s="1205" t="s">
        <v>1444</v>
      </c>
      <c r="D1054" s="1206" t="s">
        <v>1834</v>
      </c>
      <c r="E1054" s="1207">
        <v>6000</v>
      </c>
      <c r="F1054" s="1208" t="s">
        <v>3295</v>
      </c>
      <c r="G1054" s="1206" t="s">
        <v>3296</v>
      </c>
      <c r="H1054" s="1206" t="s">
        <v>1834</v>
      </c>
      <c r="I1054" s="1209" t="s">
        <v>2940</v>
      </c>
      <c r="J1054" s="1206" t="s">
        <v>1834</v>
      </c>
      <c r="K1054" s="1205">
        <v>2</v>
      </c>
      <c r="L1054" s="1205">
        <v>6</v>
      </c>
      <c r="M1054" s="1207">
        <v>36000</v>
      </c>
      <c r="N1054" s="1205">
        <v>2</v>
      </c>
      <c r="O1054" s="1205">
        <v>6</v>
      </c>
      <c r="P1054" s="1207">
        <v>36000</v>
      </c>
    </row>
    <row r="1055" spans="1:16" x14ac:dyDescent="0.2">
      <c r="A1055" s="1204" t="s">
        <v>2937</v>
      </c>
      <c r="B1055" s="1205" t="s">
        <v>2334</v>
      </c>
      <c r="C1055" s="1205" t="s">
        <v>1444</v>
      </c>
      <c r="D1055" s="1206" t="s">
        <v>2337</v>
      </c>
      <c r="E1055" s="1207">
        <v>2200</v>
      </c>
      <c r="F1055" s="1208" t="s">
        <v>3297</v>
      </c>
      <c r="G1055" s="1206" t="s">
        <v>3298</v>
      </c>
      <c r="H1055" s="1206" t="s">
        <v>2337</v>
      </c>
      <c r="I1055" s="1209" t="s">
        <v>2940</v>
      </c>
      <c r="J1055" s="1206" t="s">
        <v>2337</v>
      </c>
      <c r="K1055" s="1205">
        <v>3</v>
      </c>
      <c r="L1055" s="1205">
        <v>6</v>
      </c>
      <c r="M1055" s="1207">
        <v>13200</v>
      </c>
      <c r="N1055" s="1205">
        <v>3</v>
      </c>
      <c r="O1055" s="1205">
        <v>6</v>
      </c>
      <c r="P1055" s="1207">
        <v>13200</v>
      </c>
    </row>
    <row r="1056" spans="1:16" x14ac:dyDescent="0.2">
      <c r="A1056" s="1204" t="s">
        <v>2937</v>
      </c>
      <c r="B1056" s="1205" t="s">
        <v>2334</v>
      </c>
      <c r="C1056" s="1205" t="s">
        <v>1444</v>
      </c>
      <c r="D1056" s="1206" t="s">
        <v>1758</v>
      </c>
      <c r="E1056" s="1207">
        <v>4000</v>
      </c>
      <c r="F1056" s="1208" t="s">
        <v>3299</v>
      </c>
      <c r="G1056" s="1206" t="s">
        <v>3300</v>
      </c>
      <c r="H1056" s="1206" t="s">
        <v>1758</v>
      </c>
      <c r="I1056" s="1209" t="s">
        <v>2940</v>
      </c>
      <c r="J1056" s="1206" t="s">
        <v>1758</v>
      </c>
      <c r="K1056" s="1205">
        <v>0</v>
      </c>
      <c r="L1056" s="1205">
        <v>0</v>
      </c>
      <c r="M1056" s="1207">
        <v>0</v>
      </c>
      <c r="N1056" s="1205">
        <v>1</v>
      </c>
      <c r="O1056" s="1205">
        <v>1</v>
      </c>
      <c r="P1056" s="1207">
        <v>4000</v>
      </c>
    </row>
    <row r="1057" spans="1:16" x14ac:dyDescent="0.2">
      <c r="A1057" s="1204" t="s">
        <v>2937</v>
      </c>
      <c r="B1057" s="1205" t="s">
        <v>2334</v>
      </c>
      <c r="C1057" s="1205" t="s">
        <v>1444</v>
      </c>
      <c r="D1057" s="1206" t="s">
        <v>2337</v>
      </c>
      <c r="E1057" s="1207">
        <v>4000</v>
      </c>
      <c r="F1057" s="1208" t="s">
        <v>3301</v>
      </c>
      <c r="G1057" s="1206" t="s">
        <v>3302</v>
      </c>
      <c r="H1057" s="1206" t="s">
        <v>2337</v>
      </c>
      <c r="I1057" s="1209" t="s">
        <v>2940</v>
      </c>
      <c r="J1057" s="1206" t="s">
        <v>2337</v>
      </c>
      <c r="K1057" s="1205">
        <v>0</v>
      </c>
      <c r="L1057" s="1205">
        <v>0</v>
      </c>
      <c r="M1057" s="1207">
        <v>0</v>
      </c>
      <c r="N1057" s="1205">
        <v>1</v>
      </c>
      <c r="O1057" s="1205">
        <v>1</v>
      </c>
      <c r="P1057" s="1207">
        <v>4000</v>
      </c>
    </row>
    <row r="1058" spans="1:16" x14ac:dyDescent="0.2">
      <c r="A1058" s="1204" t="s">
        <v>2937</v>
      </c>
      <c r="B1058" s="1205" t="s">
        <v>2334</v>
      </c>
      <c r="C1058" s="1205" t="s">
        <v>1444</v>
      </c>
      <c r="D1058" s="1206" t="s">
        <v>1834</v>
      </c>
      <c r="E1058" s="1207">
        <v>6000</v>
      </c>
      <c r="F1058" s="1208" t="s">
        <v>3303</v>
      </c>
      <c r="G1058" s="1206" t="s">
        <v>3304</v>
      </c>
      <c r="H1058" s="1206" t="s">
        <v>1834</v>
      </c>
      <c r="I1058" s="1209" t="s">
        <v>2940</v>
      </c>
      <c r="J1058" s="1206" t="s">
        <v>1834</v>
      </c>
      <c r="K1058" s="1205">
        <v>2</v>
      </c>
      <c r="L1058" s="1205">
        <v>6</v>
      </c>
      <c r="M1058" s="1207">
        <v>36000</v>
      </c>
      <c r="N1058" s="1205">
        <v>2</v>
      </c>
      <c r="O1058" s="1205">
        <v>6</v>
      </c>
      <c r="P1058" s="1207">
        <v>36000</v>
      </c>
    </row>
    <row r="1059" spans="1:16" ht="12.75" x14ac:dyDescent="0.2">
      <c r="A1059" s="1204" t="s">
        <v>2937</v>
      </c>
      <c r="B1059" s="1205" t="s">
        <v>2334</v>
      </c>
      <c r="C1059" s="1205" t="s">
        <v>1444</v>
      </c>
      <c r="D1059" s="1206" t="s">
        <v>1834</v>
      </c>
      <c r="E1059" s="1207">
        <v>6000</v>
      </c>
      <c r="F1059" s="1208" t="s">
        <v>3305</v>
      </c>
      <c r="G1059" s="1206" t="s">
        <v>3306</v>
      </c>
      <c r="H1059" s="1206" t="s">
        <v>1834</v>
      </c>
      <c r="I1059" s="1209" t="s">
        <v>2940</v>
      </c>
      <c r="J1059" s="1206" t="s">
        <v>1834</v>
      </c>
      <c r="K1059" s="1205">
        <v>2</v>
      </c>
      <c r="L1059" s="1205">
        <v>6</v>
      </c>
      <c r="M1059" s="1207">
        <v>36000</v>
      </c>
      <c r="N1059" s="1210">
        <v>2</v>
      </c>
      <c r="O1059" s="1210">
        <v>6</v>
      </c>
      <c r="P1059" s="1211">
        <v>36000</v>
      </c>
    </row>
    <row r="1060" spans="1:16" ht="12.75" x14ac:dyDescent="0.2">
      <c r="A1060" s="1204" t="s">
        <v>2937</v>
      </c>
      <c r="B1060" s="1205" t="s">
        <v>2334</v>
      </c>
      <c r="C1060" s="1205" t="s">
        <v>1444</v>
      </c>
      <c r="D1060" s="1206" t="s">
        <v>1834</v>
      </c>
      <c r="E1060" s="1207">
        <v>6000</v>
      </c>
      <c r="F1060" s="1208" t="s">
        <v>3307</v>
      </c>
      <c r="G1060" s="1206" t="s">
        <v>3308</v>
      </c>
      <c r="H1060" s="1206" t="s">
        <v>1834</v>
      </c>
      <c r="I1060" s="1209" t="s">
        <v>2940</v>
      </c>
      <c r="J1060" s="1206" t="s">
        <v>1834</v>
      </c>
      <c r="K1060" s="1205">
        <v>2</v>
      </c>
      <c r="L1060" s="1205">
        <v>6</v>
      </c>
      <c r="M1060" s="1207">
        <v>36000</v>
      </c>
      <c r="N1060" s="1210">
        <v>2</v>
      </c>
      <c r="O1060" s="1210">
        <v>6</v>
      </c>
      <c r="P1060" s="1211">
        <v>36000</v>
      </c>
    </row>
    <row r="1061" spans="1:16" x14ac:dyDescent="0.2">
      <c r="A1061" s="1204" t="s">
        <v>2937</v>
      </c>
      <c r="B1061" s="1205" t="s">
        <v>2334</v>
      </c>
      <c r="C1061" s="1205" t="s">
        <v>1444</v>
      </c>
      <c r="D1061" s="1206" t="s">
        <v>1834</v>
      </c>
      <c r="E1061" s="1207">
        <v>8000</v>
      </c>
      <c r="F1061" s="1208" t="s">
        <v>3309</v>
      </c>
      <c r="G1061" s="1206" t="s">
        <v>3310</v>
      </c>
      <c r="H1061" s="1206" t="s">
        <v>1834</v>
      </c>
      <c r="I1061" s="1209" t="s">
        <v>2940</v>
      </c>
      <c r="J1061" s="1206" t="s">
        <v>1834</v>
      </c>
      <c r="K1061" s="1205">
        <v>0</v>
      </c>
      <c r="L1061" s="1205">
        <v>0</v>
      </c>
      <c r="M1061" s="1207">
        <v>0</v>
      </c>
      <c r="N1061" s="1205">
        <v>1</v>
      </c>
      <c r="O1061" s="1205">
        <v>1</v>
      </c>
      <c r="P1061" s="1207">
        <v>8000</v>
      </c>
    </row>
    <row r="1062" spans="1:16" x14ac:dyDescent="0.2">
      <c r="A1062" s="1204" t="s">
        <v>2937</v>
      </c>
      <c r="B1062" s="1205" t="s">
        <v>2334</v>
      </c>
      <c r="C1062" s="1205" t="s">
        <v>1444</v>
      </c>
      <c r="D1062" s="1206" t="s">
        <v>1651</v>
      </c>
      <c r="E1062" s="1207">
        <v>3000</v>
      </c>
      <c r="F1062" s="1208" t="s">
        <v>3311</v>
      </c>
      <c r="G1062" s="1206" t="s">
        <v>3312</v>
      </c>
      <c r="H1062" s="1206" t="s">
        <v>1651</v>
      </c>
      <c r="I1062" s="1209" t="s">
        <v>2940</v>
      </c>
      <c r="J1062" s="1206" t="s">
        <v>1651</v>
      </c>
      <c r="K1062" s="1205">
        <v>0</v>
      </c>
      <c r="L1062" s="1205">
        <v>0</v>
      </c>
      <c r="M1062" s="1207">
        <v>0</v>
      </c>
      <c r="N1062" s="1205">
        <v>1</v>
      </c>
      <c r="O1062" s="1205">
        <v>1</v>
      </c>
      <c r="P1062" s="1207">
        <v>3000</v>
      </c>
    </row>
    <row r="1063" spans="1:16" x14ac:dyDescent="0.2">
      <c r="A1063" s="1204" t="s">
        <v>2937</v>
      </c>
      <c r="B1063" s="1205" t="s">
        <v>2334</v>
      </c>
      <c r="C1063" s="1205" t="s">
        <v>1444</v>
      </c>
      <c r="D1063" s="1206" t="s">
        <v>613</v>
      </c>
      <c r="E1063" s="1207">
        <v>2500</v>
      </c>
      <c r="F1063" s="1208" t="s">
        <v>3313</v>
      </c>
      <c r="G1063" s="1206" t="s">
        <v>3314</v>
      </c>
      <c r="H1063" s="1206" t="s">
        <v>613</v>
      </c>
      <c r="I1063" s="1209" t="s">
        <v>2940</v>
      </c>
      <c r="J1063" s="1206" t="s">
        <v>613</v>
      </c>
      <c r="K1063" s="1205">
        <v>1</v>
      </c>
      <c r="L1063" s="1205">
        <v>6</v>
      </c>
      <c r="M1063" s="1207">
        <v>15000</v>
      </c>
      <c r="N1063" s="1205">
        <v>1</v>
      </c>
      <c r="O1063" s="1205">
        <v>6</v>
      </c>
      <c r="P1063" s="1207">
        <v>15000</v>
      </c>
    </row>
    <row r="1064" spans="1:16" x14ac:dyDescent="0.2">
      <c r="A1064" s="1204" t="s">
        <v>2937</v>
      </c>
      <c r="B1064" s="1205" t="s">
        <v>2334</v>
      </c>
      <c r="C1064" s="1205" t="s">
        <v>1444</v>
      </c>
      <c r="D1064" s="1206" t="s">
        <v>1834</v>
      </c>
      <c r="E1064" s="1207">
        <v>6000</v>
      </c>
      <c r="F1064" s="1208" t="s">
        <v>3315</v>
      </c>
      <c r="G1064" s="1206" t="s">
        <v>3316</v>
      </c>
      <c r="H1064" s="1206" t="s">
        <v>1834</v>
      </c>
      <c r="I1064" s="1209" t="s">
        <v>2940</v>
      </c>
      <c r="J1064" s="1206" t="s">
        <v>1834</v>
      </c>
      <c r="K1064" s="1205">
        <v>2</v>
      </c>
      <c r="L1064" s="1205">
        <v>6</v>
      </c>
      <c r="M1064" s="1207">
        <v>36000</v>
      </c>
      <c r="N1064" s="1205">
        <v>2</v>
      </c>
      <c r="O1064" s="1205">
        <v>6</v>
      </c>
      <c r="P1064" s="1207">
        <v>36000</v>
      </c>
    </row>
    <row r="1065" spans="1:16" x14ac:dyDescent="0.2">
      <c r="A1065" s="1204" t="s">
        <v>2937</v>
      </c>
      <c r="B1065" s="1205" t="s">
        <v>2334</v>
      </c>
      <c r="C1065" s="1205" t="s">
        <v>1444</v>
      </c>
      <c r="D1065" s="1206" t="s">
        <v>1651</v>
      </c>
      <c r="E1065" s="1207">
        <v>1125</v>
      </c>
      <c r="F1065" s="1208" t="s">
        <v>3317</v>
      </c>
      <c r="G1065" s="1206" t="s">
        <v>3318</v>
      </c>
      <c r="H1065" s="1206" t="s">
        <v>1651</v>
      </c>
      <c r="I1065" s="1209" t="s">
        <v>2940</v>
      </c>
      <c r="J1065" s="1206" t="s">
        <v>1651</v>
      </c>
      <c r="K1065" s="1205">
        <v>7</v>
      </c>
      <c r="L1065" s="1205">
        <v>6</v>
      </c>
      <c r="M1065" s="1207">
        <v>6750</v>
      </c>
      <c r="N1065" s="1205">
        <v>7</v>
      </c>
      <c r="O1065" s="1205">
        <v>6</v>
      </c>
      <c r="P1065" s="1207">
        <v>6750</v>
      </c>
    </row>
    <row r="1066" spans="1:16" x14ac:dyDescent="0.2">
      <c r="A1066" s="1204" t="s">
        <v>2937</v>
      </c>
      <c r="B1066" s="1205" t="s">
        <v>2334</v>
      </c>
      <c r="C1066" s="1205" t="s">
        <v>1444</v>
      </c>
      <c r="D1066" s="1206" t="s">
        <v>1673</v>
      </c>
      <c r="E1066" s="1207">
        <v>4000</v>
      </c>
      <c r="F1066" s="1208" t="s">
        <v>3319</v>
      </c>
      <c r="G1066" s="1206" t="s">
        <v>3320</v>
      </c>
      <c r="H1066" s="1206" t="s">
        <v>1673</v>
      </c>
      <c r="I1066" s="1209" t="s">
        <v>2940</v>
      </c>
      <c r="J1066" s="1206" t="s">
        <v>1673</v>
      </c>
      <c r="K1066" s="1205">
        <v>0</v>
      </c>
      <c r="L1066" s="1205">
        <v>0</v>
      </c>
      <c r="M1066" s="1207">
        <v>0</v>
      </c>
      <c r="N1066" s="1205">
        <v>1</v>
      </c>
      <c r="O1066" s="1205">
        <v>1</v>
      </c>
      <c r="P1066" s="1207">
        <v>4000</v>
      </c>
    </row>
    <row r="1067" spans="1:16" x14ac:dyDescent="0.2">
      <c r="A1067" s="1204" t="s">
        <v>2937</v>
      </c>
      <c r="B1067" s="1205" t="s">
        <v>2334</v>
      </c>
      <c r="C1067" s="1205" t="s">
        <v>1444</v>
      </c>
      <c r="D1067" s="1206" t="s">
        <v>1666</v>
      </c>
      <c r="E1067" s="1207">
        <v>4000</v>
      </c>
      <c r="F1067" s="1208" t="s">
        <v>3321</v>
      </c>
      <c r="G1067" s="1206" t="s">
        <v>3322</v>
      </c>
      <c r="H1067" s="1206" t="s">
        <v>1666</v>
      </c>
      <c r="I1067" s="1209" t="s">
        <v>2940</v>
      </c>
      <c r="J1067" s="1206" t="s">
        <v>1666</v>
      </c>
      <c r="K1067" s="1205">
        <v>0</v>
      </c>
      <c r="L1067" s="1205">
        <v>0</v>
      </c>
      <c r="M1067" s="1207">
        <v>0</v>
      </c>
      <c r="N1067" s="1205">
        <v>1</v>
      </c>
      <c r="O1067" s="1205">
        <v>1</v>
      </c>
      <c r="P1067" s="1207">
        <v>4000</v>
      </c>
    </row>
    <row r="1068" spans="1:16" x14ac:dyDescent="0.2">
      <c r="A1068" s="1204" t="s">
        <v>2937</v>
      </c>
      <c r="B1068" s="1205" t="s">
        <v>2334</v>
      </c>
      <c r="C1068" s="1205" t="s">
        <v>1444</v>
      </c>
      <c r="D1068" s="1206" t="s">
        <v>1673</v>
      </c>
      <c r="E1068" s="1207">
        <v>4000</v>
      </c>
      <c r="F1068" s="1208" t="s">
        <v>3323</v>
      </c>
      <c r="G1068" s="1206" t="s">
        <v>3324</v>
      </c>
      <c r="H1068" s="1206" t="s">
        <v>1673</v>
      </c>
      <c r="I1068" s="1209" t="s">
        <v>2940</v>
      </c>
      <c r="J1068" s="1206" t="s">
        <v>1673</v>
      </c>
      <c r="K1068" s="1205">
        <v>0</v>
      </c>
      <c r="L1068" s="1205">
        <v>0</v>
      </c>
      <c r="M1068" s="1207">
        <v>0</v>
      </c>
      <c r="N1068" s="1205">
        <v>1</v>
      </c>
      <c r="O1068" s="1205">
        <v>1</v>
      </c>
      <c r="P1068" s="1207">
        <v>4000</v>
      </c>
    </row>
    <row r="1069" spans="1:16" x14ac:dyDescent="0.2">
      <c r="A1069" s="1204" t="s">
        <v>2937</v>
      </c>
      <c r="B1069" s="1205" t="s">
        <v>2334</v>
      </c>
      <c r="C1069" s="1205" t="s">
        <v>1444</v>
      </c>
      <c r="D1069" s="1206" t="s">
        <v>2337</v>
      </c>
      <c r="E1069" s="1207">
        <v>4000</v>
      </c>
      <c r="F1069" s="1208" t="s">
        <v>3325</v>
      </c>
      <c r="G1069" s="1206" t="s">
        <v>3326</v>
      </c>
      <c r="H1069" s="1206" t="s">
        <v>2337</v>
      </c>
      <c r="I1069" s="1209" t="s">
        <v>2940</v>
      </c>
      <c r="J1069" s="1206" t="s">
        <v>2337</v>
      </c>
      <c r="K1069" s="1205">
        <v>0</v>
      </c>
      <c r="L1069" s="1205">
        <v>0</v>
      </c>
      <c r="M1069" s="1207">
        <v>0</v>
      </c>
      <c r="N1069" s="1205">
        <v>1</v>
      </c>
      <c r="O1069" s="1205">
        <v>2</v>
      </c>
      <c r="P1069" s="1207">
        <v>8000</v>
      </c>
    </row>
    <row r="1070" spans="1:16" x14ac:dyDescent="0.2">
      <c r="A1070" s="1204" t="s">
        <v>2937</v>
      </c>
      <c r="B1070" s="1205" t="s">
        <v>2334</v>
      </c>
      <c r="C1070" s="1205" t="s">
        <v>1444</v>
      </c>
      <c r="D1070" s="1206" t="s">
        <v>2687</v>
      </c>
      <c r="E1070" s="1207">
        <v>1800</v>
      </c>
      <c r="F1070" s="1208" t="s">
        <v>3327</v>
      </c>
      <c r="G1070" s="1206" t="s">
        <v>3328</v>
      </c>
      <c r="H1070" s="1206" t="s">
        <v>2687</v>
      </c>
      <c r="I1070" s="1209" t="s">
        <v>2940</v>
      </c>
      <c r="J1070" s="1206" t="s">
        <v>2687</v>
      </c>
      <c r="K1070" s="1205">
        <v>0</v>
      </c>
      <c r="L1070" s="1205">
        <v>0</v>
      </c>
      <c r="M1070" s="1207">
        <v>0</v>
      </c>
      <c r="N1070" s="1205">
        <v>1</v>
      </c>
      <c r="O1070" s="1205">
        <v>6</v>
      </c>
      <c r="P1070" s="1207">
        <v>10800</v>
      </c>
    </row>
    <row r="1071" spans="1:16" x14ac:dyDescent="0.2">
      <c r="A1071" s="1204" t="s">
        <v>2937</v>
      </c>
      <c r="B1071" s="1205" t="s">
        <v>2334</v>
      </c>
      <c r="C1071" s="1205" t="s">
        <v>1444</v>
      </c>
      <c r="D1071" s="1206" t="s">
        <v>1834</v>
      </c>
      <c r="E1071" s="1207">
        <v>6000</v>
      </c>
      <c r="F1071" s="1208" t="s">
        <v>3329</v>
      </c>
      <c r="G1071" s="1206" t="s">
        <v>3330</v>
      </c>
      <c r="H1071" s="1206" t="s">
        <v>1834</v>
      </c>
      <c r="I1071" s="1209" t="s">
        <v>2940</v>
      </c>
      <c r="J1071" s="1206" t="s">
        <v>1834</v>
      </c>
      <c r="K1071" s="1205">
        <v>3</v>
      </c>
      <c r="L1071" s="1205">
        <v>6</v>
      </c>
      <c r="M1071" s="1207">
        <v>36000</v>
      </c>
      <c r="N1071" s="1205">
        <v>3</v>
      </c>
      <c r="O1071" s="1205">
        <v>6</v>
      </c>
      <c r="P1071" s="1207">
        <v>36000</v>
      </c>
    </row>
    <row r="1072" spans="1:16" x14ac:dyDescent="0.2">
      <c r="A1072" s="1204" t="s">
        <v>2937</v>
      </c>
      <c r="B1072" s="1205" t="s">
        <v>2334</v>
      </c>
      <c r="C1072" s="1205" t="s">
        <v>1444</v>
      </c>
      <c r="D1072" s="1206" t="s">
        <v>1811</v>
      </c>
      <c r="E1072" s="1207">
        <v>2500</v>
      </c>
      <c r="F1072" s="1208" t="s">
        <v>3331</v>
      </c>
      <c r="G1072" s="1206" t="s">
        <v>3332</v>
      </c>
      <c r="H1072" s="1206" t="s">
        <v>1811</v>
      </c>
      <c r="I1072" s="1209" t="s">
        <v>2940</v>
      </c>
      <c r="J1072" s="1206" t="s">
        <v>1811</v>
      </c>
      <c r="K1072" s="1205">
        <v>1</v>
      </c>
      <c r="L1072" s="1205">
        <v>6</v>
      </c>
      <c r="M1072" s="1207">
        <v>15000</v>
      </c>
      <c r="N1072" s="1205">
        <v>1</v>
      </c>
      <c r="O1072" s="1205">
        <v>6</v>
      </c>
      <c r="P1072" s="1207">
        <v>15000</v>
      </c>
    </row>
    <row r="1073" spans="1:16" x14ac:dyDescent="0.2">
      <c r="A1073" s="1204" t="s">
        <v>2937</v>
      </c>
      <c r="B1073" s="1205" t="s">
        <v>2334</v>
      </c>
      <c r="C1073" s="1205" t="s">
        <v>1444</v>
      </c>
      <c r="D1073" s="1206" t="s">
        <v>2337</v>
      </c>
      <c r="E1073" s="1207">
        <v>2200</v>
      </c>
      <c r="F1073" s="1208" t="s">
        <v>3333</v>
      </c>
      <c r="G1073" s="1206" t="s">
        <v>3334</v>
      </c>
      <c r="H1073" s="1206" t="s">
        <v>2337</v>
      </c>
      <c r="I1073" s="1209" t="s">
        <v>2940</v>
      </c>
      <c r="J1073" s="1206" t="s">
        <v>2337</v>
      </c>
      <c r="K1073" s="1205">
        <v>1</v>
      </c>
      <c r="L1073" s="1205">
        <v>6</v>
      </c>
      <c r="M1073" s="1207">
        <v>13200</v>
      </c>
      <c r="N1073" s="1205">
        <v>1</v>
      </c>
      <c r="O1073" s="1205"/>
      <c r="P1073" s="1207">
        <v>0</v>
      </c>
    </row>
    <row r="1074" spans="1:16" x14ac:dyDescent="0.2">
      <c r="A1074" s="1204" t="s">
        <v>2937</v>
      </c>
      <c r="B1074" s="1205" t="s">
        <v>2334</v>
      </c>
      <c r="C1074" s="1205" t="s">
        <v>1444</v>
      </c>
      <c r="D1074" s="1206" t="s">
        <v>2337</v>
      </c>
      <c r="E1074" s="1207">
        <v>2200</v>
      </c>
      <c r="F1074" s="1208" t="s">
        <v>3335</v>
      </c>
      <c r="G1074" s="1206" t="s">
        <v>3336</v>
      </c>
      <c r="H1074" s="1206" t="s">
        <v>2337</v>
      </c>
      <c r="I1074" s="1209" t="s">
        <v>2940</v>
      </c>
      <c r="J1074" s="1206" t="s">
        <v>2337</v>
      </c>
      <c r="K1074" s="1205">
        <v>2</v>
      </c>
      <c r="L1074" s="1205">
        <v>6</v>
      </c>
      <c r="M1074" s="1207">
        <v>13200</v>
      </c>
      <c r="N1074" s="1205">
        <v>2</v>
      </c>
      <c r="O1074" s="1205">
        <v>6</v>
      </c>
      <c r="P1074" s="1207">
        <v>13200</v>
      </c>
    </row>
    <row r="1075" spans="1:16" x14ac:dyDescent="0.2">
      <c r="A1075" s="1204" t="s">
        <v>2937</v>
      </c>
      <c r="B1075" s="1205" t="s">
        <v>2334</v>
      </c>
      <c r="C1075" s="1205" t="s">
        <v>1444</v>
      </c>
      <c r="D1075" s="1206" t="s">
        <v>1651</v>
      </c>
      <c r="E1075" s="1207">
        <v>3000</v>
      </c>
      <c r="F1075" s="1208" t="s">
        <v>3337</v>
      </c>
      <c r="G1075" s="1206" t="s">
        <v>3338</v>
      </c>
      <c r="H1075" s="1206" t="s">
        <v>1651</v>
      </c>
      <c r="I1075" s="1209" t="s">
        <v>2940</v>
      </c>
      <c r="J1075" s="1206" t="s">
        <v>1651</v>
      </c>
      <c r="K1075" s="1205">
        <v>0</v>
      </c>
      <c r="L1075" s="1205">
        <v>0</v>
      </c>
      <c r="M1075" s="1207">
        <v>0</v>
      </c>
      <c r="N1075" s="1205">
        <v>1</v>
      </c>
      <c r="O1075" s="1205">
        <v>3</v>
      </c>
      <c r="P1075" s="1207">
        <v>9000</v>
      </c>
    </row>
    <row r="1076" spans="1:16" x14ac:dyDescent="0.2">
      <c r="A1076" s="1204" t="s">
        <v>2937</v>
      </c>
      <c r="B1076" s="1205" t="s">
        <v>2334</v>
      </c>
      <c r="C1076" s="1205" t="s">
        <v>1444</v>
      </c>
      <c r="D1076" s="1206" t="s">
        <v>1834</v>
      </c>
      <c r="E1076" s="1207">
        <v>6000</v>
      </c>
      <c r="F1076" s="1208" t="s">
        <v>3339</v>
      </c>
      <c r="G1076" s="1206" t="s">
        <v>3340</v>
      </c>
      <c r="H1076" s="1206" t="s">
        <v>1834</v>
      </c>
      <c r="I1076" s="1209" t="s">
        <v>2940</v>
      </c>
      <c r="J1076" s="1206" t="s">
        <v>1834</v>
      </c>
      <c r="K1076" s="1205">
        <v>0</v>
      </c>
      <c r="L1076" s="1205">
        <v>0</v>
      </c>
      <c r="M1076" s="1207">
        <v>0</v>
      </c>
      <c r="N1076" s="1205">
        <v>1</v>
      </c>
      <c r="O1076" s="1205">
        <v>6</v>
      </c>
      <c r="P1076" s="1207">
        <v>36000</v>
      </c>
    </row>
    <row r="1077" spans="1:16" ht="12.75" x14ac:dyDescent="0.2">
      <c r="A1077" s="1204" t="s">
        <v>2937</v>
      </c>
      <c r="B1077" s="1205" t="s">
        <v>2334</v>
      </c>
      <c r="C1077" s="1205" t="s">
        <v>1444</v>
      </c>
      <c r="D1077" s="1206" t="s">
        <v>1651</v>
      </c>
      <c r="E1077" s="1207">
        <v>1200</v>
      </c>
      <c r="F1077" s="1208" t="s">
        <v>3341</v>
      </c>
      <c r="G1077" s="1206" t="s">
        <v>3342</v>
      </c>
      <c r="H1077" s="1206" t="s">
        <v>1651</v>
      </c>
      <c r="I1077" s="1209" t="s">
        <v>2940</v>
      </c>
      <c r="J1077" s="1206" t="s">
        <v>1651</v>
      </c>
      <c r="K1077" s="1205">
        <v>2</v>
      </c>
      <c r="L1077" s="1205">
        <v>6</v>
      </c>
      <c r="M1077" s="1207">
        <v>7200</v>
      </c>
      <c r="N1077" s="1210">
        <v>2</v>
      </c>
      <c r="O1077" s="1210">
        <v>6</v>
      </c>
      <c r="P1077" s="1211">
        <v>7200</v>
      </c>
    </row>
    <row r="1078" spans="1:16" x14ac:dyDescent="0.2">
      <c r="A1078" s="1204" t="s">
        <v>2937</v>
      </c>
      <c r="B1078" s="1205" t="s">
        <v>2334</v>
      </c>
      <c r="C1078" s="1205" t="s">
        <v>1444</v>
      </c>
      <c r="D1078" s="1206" t="s">
        <v>1834</v>
      </c>
      <c r="E1078" s="1207">
        <v>8000</v>
      </c>
      <c r="F1078" s="1208" t="s">
        <v>3343</v>
      </c>
      <c r="G1078" s="1206" t="s">
        <v>3344</v>
      </c>
      <c r="H1078" s="1206" t="s">
        <v>1834</v>
      </c>
      <c r="I1078" s="1209" t="s">
        <v>2940</v>
      </c>
      <c r="J1078" s="1206" t="s">
        <v>1834</v>
      </c>
      <c r="K1078" s="1205">
        <v>0</v>
      </c>
      <c r="L1078" s="1205">
        <v>0</v>
      </c>
      <c r="M1078" s="1207">
        <v>0</v>
      </c>
      <c r="N1078" s="1205">
        <v>1</v>
      </c>
      <c r="O1078" s="1205">
        <v>1</v>
      </c>
      <c r="P1078" s="1207">
        <v>8000</v>
      </c>
    </row>
    <row r="1079" spans="1:16" x14ac:dyDescent="0.2">
      <c r="A1079" s="1204" t="s">
        <v>2937</v>
      </c>
      <c r="B1079" s="1205" t="s">
        <v>2334</v>
      </c>
      <c r="C1079" s="1205" t="s">
        <v>1444</v>
      </c>
      <c r="D1079" s="1206" t="s">
        <v>2337</v>
      </c>
      <c r="E1079" s="1207">
        <v>2200</v>
      </c>
      <c r="F1079" s="1208" t="s">
        <v>3345</v>
      </c>
      <c r="G1079" s="1206" t="s">
        <v>3346</v>
      </c>
      <c r="H1079" s="1206" t="s">
        <v>2337</v>
      </c>
      <c r="I1079" s="1209" t="s">
        <v>2940</v>
      </c>
      <c r="J1079" s="1206" t="s">
        <v>2337</v>
      </c>
      <c r="K1079" s="1205">
        <v>0</v>
      </c>
      <c r="L1079" s="1205">
        <v>0</v>
      </c>
      <c r="M1079" s="1207">
        <v>0</v>
      </c>
      <c r="N1079" s="1205">
        <v>1</v>
      </c>
      <c r="O1079" s="1205">
        <v>6</v>
      </c>
      <c r="P1079" s="1207">
        <v>13200</v>
      </c>
    </row>
    <row r="1080" spans="1:16" x14ac:dyDescent="0.2">
      <c r="A1080" s="1204" t="s">
        <v>2937</v>
      </c>
      <c r="B1080" s="1205" t="s">
        <v>2334</v>
      </c>
      <c r="C1080" s="1205" t="s">
        <v>1444</v>
      </c>
      <c r="D1080" s="1206" t="s">
        <v>1651</v>
      </c>
      <c r="E1080" s="1207">
        <v>1125</v>
      </c>
      <c r="F1080" s="1208" t="s">
        <v>3347</v>
      </c>
      <c r="G1080" s="1206" t="s">
        <v>3348</v>
      </c>
      <c r="H1080" s="1206" t="s">
        <v>1651</v>
      </c>
      <c r="I1080" s="1209" t="s">
        <v>2940</v>
      </c>
      <c r="J1080" s="1206" t="s">
        <v>1651</v>
      </c>
      <c r="K1080" s="1205">
        <v>4</v>
      </c>
      <c r="L1080" s="1205">
        <v>6</v>
      </c>
      <c r="M1080" s="1207">
        <v>6750</v>
      </c>
      <c r="N1080" s="1205">
        <v>4</v>
      </c>
      <c r="O1080" s="1205">
        <v>6</v>
      </c>
      <c r="P1080" s="1207">
        <v>6750</v>
      </c>
    </row>
    <row r="1081" spans="1:16" x14ac:dyDescent="0.2">
      <c r="A1081" s="1204" t="s">
        <v>2937</v>
      </c>
      <c r="B1081" s="1205" t="s">
        <v>2334</v>
      </c>
      <c r="C1081" s="1205" t="s">
        <v>1444</v>
      </c>
      <c r="D1081" s="1206" t="s">
        <v>1744</v>
      </c>
      <c r="E1081" s="1207">
        <v>2200</v>
      </c>
      <c r="F1081" s="1208" t="s">
        <v>3349</v>
      </c>
      <c r="G1081" s="1206" t="s">
        <v>3350</v>
      </c>
      <c r="H1081" s="1206" t="s">
        <v>1744</v>
      </c>
      <c r="I1081" s="1209" t="s">
        <v>2940</v>
      </c>
      <c r="J1081" s="1206" t="s">
        <v>1744</v>
      </c>
      <c r="K1081" s="1205">
        <v>2</v>
      </c>
      <c r="L1081" s="1205">
        <v>6</v>
      </c>
      <c r="M1081" s="1207">
        <v>13200</v>
      </c>
      <c r="N1081" s="1205">
        <v>2</v>
      </c>
      <c r="O1081" s="1205">
        <v>6</v>
      </c>
      <c r="P1081" s="1207">
        <v>13200</v>
      </c>
    </row>
    <row r="1082" spans="1:16" ht="12.75" x14ac:dyDescent="0.2">
      <c r="A1082" s="1204" t="s">
        <v>2937</v>
      </c>
      <c r="B1082" s="1205" t="s">
        <v>2334</v>
      </c>
      <c r="C1082" s="1205" t="s">
        <v>1444</v>
      </c>
      <c r="D1082" s="1206" t="s">
        <v>1651</v>
      </c>
      <c r="E1082" s="1207">
        <v>1200</v>
      </c>
      <c r="F1082" s="1208" t="s">
        <v>3351</v>
      </c>
      <c r="G1082" s="1206" t="s">
        <v>3352</v>
      </c>
      <c r="H1082" s="1206" t="s">
        <v>1651</v>
      </c>
      <c r="I1082" s="1209" t="s">
        <v>2940</v>
      </c>
      <c r="J1082" s="1206" t="s">
        <v>1651</v>
      </c>
      <c r="K1082" s="1205">
        <v>2</v>
      </c>
      <c r="L1082" s="1205">
        <v>6</v>
      </c>
      <c r="M1082" s="1207">
        <v>7200</v>
      </c>
      <c r="N1082" s="1210">
        <v>2</v>
      </c>
      <c r="O1082" s="1210">
        <v>6</v>
      </c>
      <c r="P1082" s="1211">
        <v>7200</v>
      </c>
    </row>
    <row r="1083" spans="1:16" ht="12.75" x14ac:dyDescent="0.2">
      <c r="A1083" s="1204" t="s">
        <v>2937</v>
      </c>
      <c r="B1083" s="1205" t="s">
        <v>2334</v>
      </c>
      <c r="C1083" s="1205" t="s">
        <v>1444</v>
      </c>
      <c r="D1083" s="1206" t="s">
        <v>904</v>
      </c>
      <c r="E1083" s="1207">
        <v>1500</v>
      </c>
      <c r="F1083" s="1208" t="s">
        <v>3353</v>
      </c>
      <c r="G1083" s="1206" t="s">
        <v>3354</v>
      </c>
      <c r="H1083" s="1206" t="s">
        <v>904</v>
      </c>
      <c r="I1083" s="1209" t="s">
        <v>2940</v>
      </c>
      <c r="J1083" s="1206" t="s">
        <v>904</v>
      </c>
      <c r="K1083" s="1205">
        <v>2</v>
      </c>
      <c r="L1083" s="1205">
        <v>6</v>
      </c>
      <c r="M1083" s="1207">
        <v>9000</v>
      </c>
      <c r="N1083" s="1210">
        <v>2</v>
      </c>
      <c r="O1083" s="1210">
        <v>6</v>
      </c>
      <c r="P1083" s="1211">
        <v>9000</v>
      </c>
    </row>
    <row r="1084" spans="1:16" x14ac:dyDescent="0.2">
      <c r="A1084" s="1204" t="s">
        <v>2937</v>
      </c>
      <c r="B1084" s="1205" t="s">
        <v>2334</v>
      </c>
      <c r="C1084" s="1205" t="s">
        <v>1444</v>
      </c>
      <c r="D1084" s="1206" t="s">
        <v>2337</v>
      </c>
      <c r="E1084" s="1207">
        <v>4000</v>
      </c>
      <c r="F1084" s="1208" t="s">
        <v>3355</v>
      </c>
      <c r="G1084" s="1206" t="s">
        <v>3356</v>
      </c>
      <c r="H1084" s="1206" t="s">
        <v>2337</v>
      </c>
      <c r="I1084" s="1209" t="s">
        <v>2940</v>
      </c>
      <c r="J1084" s="1206" t="s">
        <v>2337</v>
      </c>
      <c r="K1084" s="1205">
        <v>0</v>
      </c>
      <c r="L1084" s="1205">
        <v>0</v>
      </c>
      <c r="M1084" s="1207">
        <v>0</v>
      </c>
      <c r="N1084" s="1205">
        <v>1</v>
      </c>
      <c r="O1084" s="1205">
        <v>2</v>
      </c>
      <c r="P1084" s="1207">
        <v>8000</v>
      </c>
    </row>
    <row r="1085" spans="1:16" x14ac:dyDescent="0.2">
      <c r="A1085" s="1204" t="s">
        <v>2937</v>
      </c>
      <c r="B1085" s="1205" t="s">
        <v>2334</v>
      </c>
      <c r="C1085" s="1205" t="s">
        <v>1444</v>
      </c>
      <c r="D1085" s="1206" t="s">
        <v>2337</v>
      </c>
      <c r="E1085" s="1207">
        <v>4000</v>
      </c>
      <c r="F1085" s="1208" t="s">
        <v>3357</v>
      </c>
      <c r="G1085" s="1206" t="s">
        <v>3358</v>
      </c>
      <c r="H1085" s="1206" t="s">
        <v>2337</v>
      </c>
      <c r="I1085" s="1209" t="s">
        <v>2940</v>
      </c>
      <c r="J1085" s="1206" t="s">
        <v>2337</v>
      </c>
      <c r="K1085" s="1205">
        <v>0</v>
      </c>
      <c r="L1085" s="1205">
        <v>0</v>
      </c>
      <c r="M1085" s="1207">
        <v>0</v>
      </c>
      <c r="N1085" s="1205">
        <v>1</v>
      </c>
      <c r="O1085" s="1205">
        <v>3</v>
      </c>
      <c r="P1085" s="1207">
        <v>12000</v>
      </c>
    </row>
    <row r="1086" spans="1:16" x14ac:dyDescent="0.2">
      <c r="A1086" s="1204" t="s">
        <v>2937</v>
      </c>
      <c r="B1086" s="1205" t="s">
        <v>2334</v>
      </c>
      <c r="C1086" s="1205" t="s">
        <v>1444</v>
      </c>
      <c r="D1086" s="1206" t="s">
        <v>1651</v>
      </c>
      <c r="E1086" s="1207">
        <v>3000</v>
      </c>
      <c r="F1086" s="1208" t="s">
        <v>3359</v>
      </c>
      <c r="G1086" s="1206" t="s">
        <v>3360</v>
      </c>
      <c r="H1086" s="1206" t="s">
        <v>1651</v>
      </c>
      <c r="I1086" s="1209" t="s">
        <v>2940</v>
      </c>
      <c r="J1086" s="1206" t="s">
        <v>1651</v>
      </c>
      <c r="K1086" s="1205">
        <v>0</v>
      </c>
      <c r="L1086" s="1205">
        <v>0</v>
      </c>
      <c r="M1086" s="1207">
        <v>0</v>
      </c>
      <c r="N1086" s="1205">
        <v>1</v>
      </c>
      <c r="O1086" s="1205">
        <v>3</v>
      </c>
      <c r="P1086" s="1207">
        <v>9000</v>
      </c>
    </row>
    <row r="1087" spans="1:16" x14ac:dyDescent="0.2">
      <c r="A1087" s="1204" t="s">
        <v>2937</v>
      </c>
      <c r="B1087" s="1205" t="s">
        <v>2334</v>
      </c>
      <c r="C1087" s="1205" t="s">
        <v>1444</v>
      </c>
      <c r="D1087" s="1206" t="s">
        <v>2337</v>
      </c>
      <c r="E1087" s="1207">
        <v>2200</v>
      </c>
      <c r="F1087" s="1208" t="s">
        <v>3361</v>
      </c>
      <c r="G1087" s="1206" t="s">
        <v>3362</v>
      </c>
      <c r="H1087" s="1206" t="s">
        <v>2337</v>
      </c>
      <c r="I1087" s="1209" t="s">
        <v>2940</v>
      </c>
      <c r="J1087" s="1206" t="s">
        <v>2337</v>
      </c>
      <c r="K1087" s="1205">
        <v>2</v>
      </c>
      <c r="L1087" s="1205">
        <v>6</v>
      </c>
      <c r="M1087" s="1207">
        <v>13200</v>
      </c>
      <c r="N1087" s="1205">
        <v>2</v>
      </c>
      <c r="O1087" s="1205">
        <v>6</v>
      </c>
      <c r="P1087" s="1207">
        <v>13200</v>
      </c>
    </row>
    <row r="1088" spans="1:16" x14ac:dyDescent="0.2">
      <c r="A1088" s="1204" t="s">
        <v>2937</v>
      </c>
      <c r="B1088" s="1205" t="s">
        <v>2334</v>
      </c>
      <c r="C1088" s="1205" t="s">
        <v>1444</v>
      </c>
      <c r="D1088" s="1206" t="s">
        <v>1834</v>
      </c>
      <c r="E1088" s="1207">
        <v>8000</v>
      </c>
      <c r="F1088" s="1208" t="s">
        <v>3363</v>
      </c>
      <c r="G1088" s="1206" t="s">
        <v>3364</v>
      </c>
      <c r="H1088" s="1206" t="s">
        <v>1834</v>
      </c>
      <c r="I1088" s="1209" t="s">
        <v>2940</v>
      </c>
      <c r="J1088" s="1206" t="s">
        <v>1834</v>
      </c>
      <c r="K1088" s="1205">
        <v>0</v>
      </c>
      <c r="L1088" s="1205">
        <v>0</v>
      </c>
      <c r="M1088" s="1207">
        <v>0</v>
      </c>
      <c r="N1088" s="1205">
        <v>1</v>
      </c>
      <c r="O1088" s="1205">
        <v>3</v>
      </c>
      <c r="P1088" s="1207">
        <v>24000</v>
      </c>
    </row>
    <row r="1089" spans="1:16" x14ac:dyDescent="0.2">
      <c r="A1089" s="1204" t="s">
        <v>2937</v>
      </c>
      <c r="B1089" s="1205" t="s">
        <v>2334</v>
      </c>
      <c r="C1089" s="1205" t="s">
        <v>1444</v>
      </c>
      <c r="D1089" s="1206" t="s">
        <v>1651</v>
      </c>
      <c r="E1089" s="1207">
        <v>3000</v>
      </c>
      <c r="F1089" s="1208" t="s">
        <v>3365</v>
      </c>
      <c r="G1089" s="1206" t="s">
        <v>3366</v>
      </c>
      <c r="H1089" s="1206" t="s">
        <v>1651</v>
      </c>
      <c r="I1089" s="1209" t="s">
        <v>2940</v>
      </c>
      <c r="J1089" s="1206" t="s">
        <v>1651</v>
      </c>
      <c r="K1089" s="1205">
        <v>0</v>
      </c>
      <c r="L1089" s="1205">
        <v>0</v>
      </c>
      <c r="M1089" s="1207">
        <v>0</v>
      </c>
      <c r="N1089" s="1205">
        <v>1</v>
      </c>
      <c r="O1089" s="1205">
        <v>2</v>
      </c>
      <c r="P1089" s="1207">
        <v>6000</v>
      </c>
    </row>
    <row r="1090" spans="1:16" x14ac:dyDescent="0.2">
      <c r="A1090" s="1204" t="s">
        <v>2937</v>
      </c>
      <c r="B1090" s="1205" t="s">
        <v>2334</v>
      </c>
      <c r="C1090" s="1205" t="s">
        <v>1444</v>
      </c>
      <c r="D1090" s="1206" t="s">
        <v>1651</v>
      </c>
      <c r="E1090" s="1207">
        <v>3000</v>
      </c>
      <c r="F1090" s="1208" t="s">
        <v>3367</v>
      </c>
      <c r="G1090" s="1206" t="s">
        <v>3368</v>
      </c>
      <c r="H1090" s="1206" t="s">
        <v>1651</v>
      </c>
      <c r="I1090" s="1209" t="s">
        <v>2940</v>
      </c>
      <c r="J1090" s="1206" t="s">
        <v>1651</v>
      </c>
      <c r="K1090" s="1205">
        <v>0</v>
      </c>
      <c r="L1090" s="1205">
        <v>0</v>
      </c>
      <c r="M1090" s="1207">
        <v>0</v>
      </c>
      <c r="N1090" s="1205">
        <v>1</v>
      </c>
      <c r="O1090" s="1205">
        <v>1</v>
      </c>
      <c r="P1090" s="1207">
        <v>3000</v>
      </c>
    </row>
    <row r="1091" spans="1:16" x14ac:dyDescent="0.2">
      <c r="A1091" s="1204" t="s">
        <v>2937</v>
      </c>
      <c r="B1091" s="1205" t="s">
        <v>2334</v>
      </c>
      <c r="C1091" s="1205" t="s">
        <v>1444</v>
      </c>
      <c r="D1091" s="1206" t="s">
        <v>1651</v>
      </c>
      <c r="E1091" s="1207">
        <v>3000</v>
      </c>
      <c r="F1091" s="1208" t="s">
        <v>3369</v>
      </c>
      <c r="G1091" s="1206" t="s">
        <v>3370</v>
      </c>
      <c r="H1091" s="1206" t="s">
        <v>1651</v>
      </c>
      <c r="I1091" s="1209" t="s">
        <v>2940</v>
      </c>
      <c r="J1091" s="1206" t="s">
        <v>1651</v>
      </c>
      <c r="K1091" s="1205">
        <v>0</v>
      </c>
      <c r="L1091" s="1205">
        <v>0</v>
      </c>
      <c r="M1091" s="1207">
        <v>0</v>
      </c>
      <c r="N1091" s="1205">
        <v>1</v>
      </c>
      <c r="O1091" s="1205">
        <v>1</v>
      </c>
      <c r="P1091" s="1207">
        <v>3000</v>
      </c>
    </row>
    <row r="1092" spans="1:16" x14ac:dyDescent="0.2">
      <c r="A1092" s="1204" t="s">
        <v>2937</v>
      </c>
      <c r="B1092" s="1205" t="s">
        <v>2334</v>
      </c>
      <c r="C1092" s="1205" t="s">
        <v>1444</v>
      </c>
      <c r="D1092" s="1206" t="s">
        <v>613</v>
      </c>
      <c r="E1092" s="1207">
        <v>1125</v>
      </c>
      <c r="F1092" s="1208" t="s">
        <v>3371</v>
      </c>
      <c r="G1092" s="1206" t="s">
        <v>3372</v>
      </c>
      <c r="H1092" s="1206" t="s">
        <v>613</v>
      </c>
      <c r="I1092" s="1209" t="s">
        <v>2940</v>
      </c>
      <c r="J1092" s="1206" t="s">
        <v>613</v>
      </c>
      <c r="K1092" s="1205">
        <v>10</v>
      </c>
      <c r="L1092" s="1205">
        <v>6</v>
      </c>
      <c r="M1092" s="1207">
        <v>6750</v>
      </c>
      <c r="N1092" s="1205">
        <v>10</v>
      </c>
      <c r="O1092" s="1205">
        <v>6</v>
      </c>
      <c r="P1092" s="1207">
        <v>6750</v>
      </c>
    </row>
    <row r="1093" spans="1:16" x14ac:dyDescent="0.2">
      <c r="A1093" s="1204" t="s">
        <v>2937</v>
      </c>
      <c r="B1093" s="1205" t="s">
        <v>2334</v>
      </c>
      <c r="C1093" s="1205" t="s">
        <v>1444</v>
      </c>
      <c r="D1093" s="1206" t="s">
        <v>1673</v>
      </c>
      <c r="E1093" s="1207">
        <v>4000</v>
      </c>
      <c r="F1093" s="1208" t="s">
        <v>3373</v>
      </c>
      <c r="G1093" s="1206" t="s">
        <v>3374</v>
      </c>
      <c r="H1093" s="1206" t="s">
        <v>1673</v>
      </c>
      <c r="I1093" s="1209" t="s">
        <v>2940</v>
      </c>
      <c r="J1093" s="1206" t="s">
        <v>1673</v>
      </c>
      <c r="K1093" s="1205">
        <v>0</v>
      </c>
      <c r="L1093" s="1205">
        <v>0</v>
      </c>
      <c r="M1093" s="1207">
        <v>0</v>
      </c>
      <c r="N1093" s="1205">
        <v>1</v>
      </c>
      <c r="O1093" s="1205">
        <v>1</v>
      </c>
      <c r="P1093" s="1207">
        <v>4000</v>
      </c>
    </row>
    <row r="1094" spans="1:16" x14ac:dyDescent="0.2">
      <c r="A1094" s="1204" t="s">
        <v>2937</v>
      </c>
      <c r="B1094" s="1205" t="s">
        <v>2334</v>
      </c>
      <c r="C1094" s="1205" t="s">
        <v>1444</v>
      </c>
      <c r="D1094" s="1206" t="s">
        <v>1651</v>
      </c>
      <c r="E1094" s="1207">
        <v>3000</v>
      </c>
      <c r="F1094" s="1208" t="s">
        <v>3375</v>
      </c>
      <c r="G1094" s="1206" t="s">
        <v>3376</v>
      </c>
      <c r="H1094" s="1206" t="s">
        <v>1651</v>
      </c>
      <c r="I1094" s="1209" t="s">
        <v>2940</v>
      </c>
      <c r="J1094" s="1206" t="s">
        <v>1651</v>
      </c>
      <c r="K1094" s="1205">
        <v>0</v>
      </c>
      <c r="L1094" s="1205">
        <v>0</v>
      </c>
      <c r="M1094" s="1207">
        <v>0</v>
      </c>
      <c r="N1094" s="1205">
        <v>1</v>
      </c>
      <c r="O1094" s="1205">
        <v>1</v>
      </c>
      <c r="P1094" s="1207">
        <v>3000</v>
      </c>
    </row>
    <row r="1095" spans="1:16" x14ac:dyDescent="0.2">
      <c r="A1095" s="1204" t="s">
        <v>2937</v>
      </c>
      <c r="B1095" s="1205" t="s">
        <v>2334</v>
      </c>
      <c r="C1095" s="1205" t="s">
        <v>1444</v>
      </c>
      <c r="D1095" s="1206" t="s">
        <v>1651</v>
      </c>
      <c r="E1095" s="1207">
        <v>1125</v>
      </c>
      <c r="F1095" s="1208" t="s">
        <v>3377</v>
      </c>
      <c r="G1095" s="1206" t="s">
        <v>3378</v>
      </c>
      <c r="H1095" s="1206" t="s">
        <v>1651</v>
      </c>
      <c r="I1095" s="1209" t="s">
        <v>2940</v>
      </c>
      <c r="J1095" s="1206" t="s">
        <v>1651</v>
      </c>
      <c r="K1095" s="1205">
        <v>2</v>
      </c>
      <c r="L1095" s="1205">
        <v>6</v>
      </c>
      <c r="M1095" s="1207">
        <v>6750</v>
      </c>
      <c r="N1095" s="1205">
        <v>2</v>
      </c>
      <c r="O1095" s="1205">
        <v>6</v>
      </c>
      <c r="P1095" s="1207">
        <v>6750</v>
      </c>
    </row>
    <row r="1096" spans="1:16" x14ac:dyDescent="0.2">
      <c r="A1096" s="1204" t="s">
        <v>2937</v>
      </c>
      <c r="B1096" s="1205" t="s">
        <v>2334</v>
      </c>
      <c r="C1096" s="1205" t="s">
        <v>1444</v>
      </c>
      <c r="D1096" s="1206" t="s">
        <v>1651</v>
      </c>
      <c r="E1096" s="1207">
        <v>1125</v>
      </c>
      <c r="F1096" s="1208" t="s">
        <v>3379</v>
      </c>
      <c r="G1096" s="1206" t="s">
        <v>3380</v>
      </c>
      <c r="H1096" s="1206" t="s">
        <v>1651</v>
      </c>
      <c r="I1096" s="1209" t="s">
        <v>2940</v>
      </c>
      <c r="J1096" s="1206" t="s">
        <v>1651</v>
      </c>
      <c r="K1096" s="1205">
        <v>1</v>
      </c>
      <c r="L1096" s="1205">
        <v>6</v>
      </c>
      <c r="M1096" s="1207">
        <v>6750</v>
      </c>
      <c r="N1096" s="1205">
        <v>1</v>
      </c>
      <c r="O1096" s="1205"/>
      <c r="P1096" s="1207">
        <v>0</v>
      </c>
    </row>
    <row r="1097" spans="1:16" x14ac:dyDescent="0.2">
      <c r="A1097" s="1204" t="s">
        <v>2937</v>
      </c>
      <c r="B1097" s="1205" t="s">
        <v>2334</v>
      </c>
      <c r="C1097" s="1205" t="s">
        <v>1444</v>
      </c>
      <c r="D1097" s="1206" t="s">
        <v>1666</v>
      </c>
      <c r="E1097" s="1207">
        <v>4000</v>
      </c>
      <c r="F1097" s="1208" t="s">
        <v>3381</v>
      </c>
      <c r="G1097" s="1206" t="s">
        <v>3382</v>
      </c>
      <c r="H1097" s="1206" t="s">
        <v>1666</v>
      </c>
      <c r="I1097" s="1209" t="s">
        <v>2940</v>
      </c>
      <c r="J1097" s="1206" t="s">
        <v>1666</v>
      </c>
      <c r="K1097" s="1205">
        <v>0</v>
      </c>
      <c r="L1097" s="1205">
        <v>0</v>
      </c>
      <c r="M1097" s="1207">
        <v>0</v>
      </c>
      <c r="N1097" s="1205">
        <v>1</v>
      </c>
      <c r="O1097" s="1205">
        <v>1</v>
      </c>
      <c r="P1097" s="1207">
        <v>4000</v>
      </c>
    </row>
    <row r="1098" spans="1:16" x14ac:dyDescent="0.2">
      <c r="A1098" s="1204" t="s">
        <v>2937</v>
      </c>
      <c r="B1098" s="1205" t="s">
        <v>2334</v>
      </c>
      <c r="C1098" s="1205" t="s">
        <v>1444</v>
      </c>
      <c r="D1098" s="1206" t="s">
        <v>1834</v>
      </c>
      <c r="E1098" s="1207">
        <v>6000</v>
      </c>
      <c r="F1098" s="1208" t="s">
        <v>3383</v>
      </c>
      <c r="G1098" s="1206" t="s">
        <v>3384</v>
      </c>
      <c r="H1098" s="1206" t="s">
        <v>1834</v>
      </c>
      <c r="I1098" s="1209" t="s">
        <v>2940</v>
      </c>
      <c r="J1098" s="1206" t="s">
        <v>1834</v>
      </c>
      <c r="K1098" s="1205">
        <v>1</v>
      </c>
      <c r="L1098" s="1205">
        <v>6</v>
      </c>
      <c r="M1098" s="1207">
        <v>36000</v>
      </c>
      <c r="N1098" s="1205">
        <v>1</v>
      </c>
      <c r="O1098" s="1205">
        <v>6</v>
      </c>
      <c r="P1098" s="1207">
        <v>36000</v>
      </c>
    </row>
    <row r="1099" spans="1:16" x14ac:dyDescent="0.2">
      <c r="A1099" s="1204" t="s">
        <v>2937</v>
      </c>
      <c r="B1099" s="1205" t="s">
        <v>2334</v>
      </c>
      <c r="C1099" s="1205" t="s">
        <v>1444</v>
      </c>
      <c r="D1099" s="1206" t="s">
        <v>2565</v>
      </c>
      <c r="E1099" s="1207">
        <v>1200</v>
      </c>
      <c r="F1099" s="1208" t="s">
        <v>3385</v>
      </c>
      <c r="G1099" s="1206" t="s">
        <v>3386</v>
      </c>
      <c r="H1099" s="1206" t="s">
        <v>2565</v>
      </c>
      <c r="I1099" s="1209" t="s">
        <v>2940</v>
      </c>
      <c r="J1099" s="1206" t="s">
        <v>2565</v>
      </c>
      <c r="K1099" s="1205">
        <v>3</v>
      </c>
      <c r="L1099" s="1205">
        <v>6</v>
      </c>
      <c r="M1099" s="1207">
        <v>7200</v>
      </c>
      <c r="N1099" s="1205">
        <v>3</v>
      </c>
      <c r="O1099" s="1205">
        <v>6</v>
      </c>
      <c r="P1099" s="1207">
        <v>7200</v>
      </c>
    </row>
    <row r="1100" spans="1:16" x14ac:dyDescent="0.2">
      <c r="A1100" s="1204" t="s">
        <v>2937</v>
      </c>
      <c r="B1100" s="1205" t="s">
        <v>2334</v>
      </c>
      <c r="C1100" s="1205" t="s">
        <v>1444</v>
      </c>
      <c r="D1100" s="1206" t="s">
        <v>1744</v>
      </c>
      <c r="E1100" s="1207">
        <v>4000</v>
      </c>
      <c r="F1100" s="1208" t="s">
        <v>3387</v>
      </c>
      <c r="G1100" s="1206" t="s">
        <v>3388</v>
      </c>
      <c r="H1100" s="1206" t="s">
        <v>1744</v>
      </c>
      <c r="I1100" s="1209" t="s">
        <v>2940</v>
      </c>
      <c r="J1100" s="1206" t="s">
        <v>1744</v>
      </c>
      <c r="K1100" s="1205">
        <v>0</v>
      </c>
      <c r="L1100" s="1205">
        <v>0</v>
      </c>
      <c r="M1100" s="1207">
        <v>0</v>
      </c>
      <c r="N1100" s="1205">
        <v>1</v>
      </c>
      <c r="O1100" s="1205">
        <v>1</v>
      </c>
      <c r="P1100" s="1207">
        <v>4000</v>
      </c>
    </row>
    <row r="1101" spans="1:16" x14ac:dyDescent="0.2">
      <c r="A1101" s="1204" t="s">
        <v>2937</v>
      </c>
      <c r="B1101" s="1205" t="s">
        <v>2334</v>
      </c>
      <c r="C1101" s="1205" t="s">
        <v>1444</v>
      </c>
      <c r="D1101" s="1206" t="s">
        <v>2337</v>
      </c>
      <c r="E1101" s="1207">
        <v>2200</v>
      </c>
      <c r="F1101" s="1208" t="s">
        <v>3389</v>
      </c>
      <c r="G1101" s="1206" t="s">
        <v>3390</v>
      </c>
      <c r="H1101" s="1206" t="s">
        <v>2337</v>
      </c>
      <c r="I1101" s="1209" t="s">
        <v>2940</v>
      </c>
      <c r="J1101" s="1206" t="s">
        <v>2337</v>
      </c>
      <c r="K1101" s="1205">
        <v>5</v>
      </c>
      <c r="L1101" s="1205">
        <v>6</v>
      </c>
      <c r="M1101" s="1207">
        <v>13200</v>
      </c>
      <c r="N1101" s="1205">
        <v>5</v>
      </c>
      <c r="O1101" s="1205">
        <v>6</v>
      </c>
      <c r="P1101" s="1207">
        <v>13200</v>
      </c>
    </row>
    <row r="1102" spans="1:16" x14ac:dyDescent="0.2">
      <c r="A1102" s="1204" t="s">
        <v>2937</v>
      </c>
      <c r="B1102" s="1205" t="s">
        <v>2334</v>
      </c>
      <c r="C1102" s="1205" t="s">
        <v>1444</v>
      </c>
      <c r="D1102" s="1206" t="s">
        <v>1834</v>
      </c>
      <c r="E1102" s="1207">
        <v>6000</v>
      </c>
      <c r="F1102" s="1208" t="s">
        <v>3391</v>
      </c>
      <c r="G1102" s="1206" t="s">
        <v>3392</v>
      </c>
      <c r="H1102" s="1206" t="s">
        <v>1834</v>
      </c>
      <c r="I1102" s="1209" t="s">
        <v>2940</v>
      </c>
      <c r="J1102" s="1206" t="s">
        <v>1834</v>
      </c>
      <c r="K1102" s="1205">
        <v>2</v>
      </c>
      <c r="L1102" s="1205">
        <v>6</v>
      </c>
      <c r="M1102" s="1207">
        <v>36000</v>
      </c>
      <c r="N1102" s="1205">
        <v>2</v>
      </c>
      <c r="O1102" s="1205">
        <v>6</v>
      </c>
      <c r="P1102" s="1207">
        <v>36000</v>
      </c>
    </row>
    <row r="1103" spans="1:16" x14ac:dyDescent="0.2">
      <c r="A1103" s="1204" t="s">
        <v>2937</v>
      </c>
      <c r="B1103" s="1205" t="s">
        <v>2334</v>
      </c>
      <c r="C1103" s="1205" t="s">
        <v>1444</v>
      </c>
      <c r="D1103" s="1206" t="s">
        <v>1834</v>
      </c>
      <c r="E1103" s="1207">
        <v>6000</v>
      </c>
      <c r="F1103" s="1208" t="s">
        <v>3393</v>
      </c>
      <c r="G1103" s="1206" t="s">
        <v>3394</v>
      </c>
      <c r="H1103" s="1206" t="s">
        <v>1834</v>
      </c>
      <c r="I1103" s="1209" t="s">
        <v>2940</v>
      </c>
      <c r="J1103" s="1206" t="s">
        <v>1834</v>
      </c>
      <c r="K1103" s="1205">
        <v>2</v>
      </c>
      <c r="L1103" s="1205">
        <v>6</v>
      </c>
      <c r="M1103" s="1207">
        <v>36000</v>
      </c>
      <c r="N1103" s="1205">
        <v>2</v>
      </c>
      <c r="O1103" s="1205">
        <v>6</v>
      </c>
      <c r="P1103" s="1207">
        <v>36000</v>
      </c>
    </row>
    <row r="1104" spans="1:16" x14ac:dyDescent="0.2">
      <c r="A1104" s="1204" t="s">
        <v>2937</v>
      </c>
      <c r="B1104" s="1205" t="s">
        <v>2334</v>
      </c>
      <c r="C1104" s="1205" t="s">
        <v>1444</v>
      </c>
      <c r="D1104" s="1206" t="s">
        <v>2337</v>
      </c>
      <c r="E1104" s="1207">
        <v>2200</v>
      </c>
      <c r="F1104" s="1208" t="s">
        <v>3395</v>
      </c>
      <c r="G1104" s="1206" t="s">
        <v>3396</v>
      </c>
      <c r="H1104" s="1206" t="s">
        <v>2337</v>
      </c>
      <c r="I1104" s="1209" t="s">
        <v>2940</v>
      </c>
      <c r="J1104" s="1206" t="s">
        <v>2337</v>
      </c>
      <c r="K1104" s="1205">
        <v>1</v>
      </c>
      <c r="L1104" s="1205">
        <v>6</v>
      </c>
      <c r="M1104" s="1207">
        <v>13200</v>
      </c>
      <c r="N1104" s="1205">
        <v>1</v>
      </c>
      <c r="O1104" s="1205">
        <v>6</v>
      </c>
      <c r="P1104" s="1207">
        <v>13200</v>
      </c>
    </row>
    <row r="1105" spans="1:16" x14ac:dyDescent="0.2">
      <c r="A1105" s="1204" t="s">
        <v>2937</v>
      </c>
      <c r="B1105" s="1205" t="s">
        <v>2334</v>
      </c>
      <c r="C1105" s="1205" t="s">
        <v>1444</v>
      </c>
      <c r="D1105" s="1206" t="s">
        <v>2612</v>
      </c>
      <c r="E1105" s="1207">
        <v>5600</v>
      </c>
      <c r="F1105" s="1208" t="s">
        <v>3397</v>
      </c>
      <c r="G1105" s="1206" t="s">
        <v>3398</v>
      </c>
      <c r="H1105" s="1206" t="s">
        <v>2612</v>
      </c>
      <c r="I1105" s="1209" t="s">
        <v>2940</v>
      </c>
      <c r="J1105" s="1206" t="s">
        <v>2612</v>
      </c>
      <c r="K1105" s="1205">
        <v>1</v>
      </c>
      <c r="L1105" s="1205">
        <v>6</v>
      </c>
      <c r="M1105" s="1207">
        <v>33600</v>
      </c>
      <c r="N1105" s="1205">
        <v>1</v>
      </c>
      <c r="O1105" s="1205">
        <v>6</v>
      </c>
      <c r="P1105" s="1207">
        <v>33600</v>
      </c>
    </row>
    <row r="1106" spans="1:16" x14ac:dyDescent="0.2">
      <c r="A1106" s="1204" t="s">
        <v>2937</v>
      </c>
      <c r="B1106" s="1205" t="s">
        <v>2334</v>
      </c>
      <c r="C1106" s="1205" t="s">
        <v>1444</v>
      </c>
      <c r="D1106" s="1206" t="s">
        <v>2337</v>
      </c>
      <c r="E1106" s="1207">
        <v>4000</v>
      </c>
      <c r="F1106" s="1208" t="s">
        <v>3399</v>
      </c>
      <c r="G1106" s="1206" t="s">
        <v>3400</v>
      </c>
      <c r="H1106" s="1206" t="s">
        <v>2337</v>
      </c>
      <c r="I1106" s="1209" t="s">
        <v>2940</v>
      </c>
      <c r="J1106" s="1206" t="s">
        <v>2337</v>
      </c>
      <c r="K1106" s="1205">
        <v>0</v>
      </c>
      <c r="L1106" s="1205">
        <v>0</v>
      </c>
      <c r="M1106" s="1207">
        <v>0</v>
      </c>
      <c r="N1106" s="1205">
        <v>1</v>
      </c>
      <c r="O1106" s="1205">
        <v>3</v>
      </c>
      <c r="P1106" s="1207">
        <v>12000</v>
      </c>
    </row>
    <row r="1107" spans="1:16" x14ac:dyDescent="0.2">
      <c r="A1107" s="1204" t="s">
        <v>2937</v>
      </c>
      <c r="B1107" s="1205" t="s">
        <v>2334</v>
      </c>
      <c r="C1107" s="1205" t="s">
        <v>1444</v>
      </c>
      <c r="D1107" s="1206" t="s">
        <v>1651</v>
      </c>
      <c r="E1107" s="1207">
        <v>1125</v>
      </c>
      <c r="F1107" s="1208" t="s">
        <v>3401</v>
      </c>
      <c r="G1107" s="1206" t="s">
        <v>3402</v>
      </c>
      <c r="H1107" s="1206" t="s">
        <v>1651</v>
      </c>
      <c r="I1107" s="1209" t="s">
        <v>2940</v>
      </c>
      <c r="J1107" s="1206" t="s">
        <v>1651</v>
      </c>
      <c r="K1107" s="1205">
        <v>2</v>
      </c>
      <c r="L1107" s="1205">
        <v>6</v>
      </c>
      <c r="M1107" s="1207">
        <v>6750</v>
      </c>
      <c r="N1107" s="1205">
        <v>2</v>
      </c>
      <c r="O1107" s="1205">
        <v>6</v>
      </c>
      <c r="P1107" s="1207">
        <v>6750</v>
      </c>
    </row>
    <row r="1108" spans="1:16" x14ac:dyDescent="0.2">
      <c r="A1108" s="1204" t="s">
        <v>2937</v>
      </c>
      <c r="B1108" s="1205" t="s">
        <v>2334</v>
      </c>
      <c r="C1108" s="1205" t="s">
        <v>1444</v>
      </c>
      <c r="D1108" s="1206" t="s">
        <v>904</v>
      </c>
      <c r="E1108" s="1207">
        <v>1060</v>
      </c>
      <c r="F1108" s="1208" t="s">
        <v>3403</v>
      </c>
      <c r="G1108" s="1206" t="s">
        <v>3404</v>
      </c>
      <c r="H1108" s="1206" t="s">
        <v>904</v>
      </c>
      <c r="I1108" s="1209" t="s">
        <v>2940</v>
      </c>
      <c r="J1108" s="1206" t="s">
        <v>904</v>
      </c>
      <c r="K1108" s="1205">
        <v>5</v>
      </c>
      <c r="L1108" s="1205">
        <v>6</v>
      </c>
      <c r="M1108" s="1207">
        <v>6360</v>
      </c>
      <c r="N1108" s="1205">
        <v>5</v>
      </c>
      <c r="O1108" s="1205">
        <v>6</v>
      </c>
      <c r="P1108" s="1207">
        <v>6360</v>
      </c>
    </row>
    <row r="1109" spans="1:16" x14ac:dyDescent="0.2">
      <c r="A1109" s="1204" t="s">
        <v>2937</v>
      </c>
      <c r="B1109" s="1205" t="s">
        <v>2334</v>
      </c>
      <c r="C1109" s="1205" t="s">
        <v>1444</v>
      </c>
      <c r="D1109" s="1206" t="s">
        <v>2337</v>
      </c>
      <c r="E1109" s="1207">
        <v>2200</v>
      </c>
      <c r="F1109" s="1208" t="s">
        <v>3405</v>
      </c>
      <c r="G1109" s="1206" t="s">
        <v>3406</v>
      </c>
      <c r="H1109" s="1206" t="s">
        <v>2337</v>
      </c>
      <c r="I1109" s="1209" t="s">
        <v>2940</v>
      </c>
      <c r="J1109" s="1206" t="s">
        <v>2337</v>
      </c>
      <c r="K1109" s="1205">
        <v>2</v>
      </c>
      <c r="L1109" s="1205">
        <v>6</v>
      </c>
      <c r="M1109" s="1207">
        <v>13200</v>
      </c>
      <c r="N1109" s="1205">
        <v>2</v>
      </c>
      <c r="O1109" s="1205">
        <v>6</v>
      </c>
      <c r="P1109" s="1207">
        <v>13200</v>
      </c>
    </row>
    <row r="1110" spans="1:16" x14ac:dyDescent="0.2">
      <c r="A1110" s="1204" t="s">
        <v>2937</v>
      </c>
      <c r="B1110" s="1205" t="s">
        <v>2334</v>
      </c>
      <c r="C1110" s="1205" t="s">
        <v>1444</v>
      </c>
      <c r="D1110" s="1206" t="s">
        <v>2714</v>
      </c>
      <c r="E1110" s="1207">
        <v>3500</v>
      </c>
      <c r="F1110" s="1208" t="s">
        <v>3407</v>
      </c>
      <c r="G1110" s="1206" t="s">
        <v>3408</v>
      </c>
      <c r="H1110" s="1206" t="s">
        <v>2714</v>
      </c>
      <c r="I1110" s="1209" t="s">
        <v>2940</v>
      </c>
      <c r="J1110" s="1206" t="s">
        <v>2714</v>
      </c>
      <c r="K1110" s="1205">
        <v>2</v>
      </c>
      <c r="L1110" s="1205">
        <v>6</v>
      </c>
      <c r="M1110" s="1207">
        <v>21000</v>
      </c>
      <c r="N1110" s="1205">
        <v>2</v>
      </c>
      <c r="O1110" s="1205">
        <v>6</v>
      </c>
      <c r="P1110" s="1207">
        <v>21000</v>
      </c>
    </row>
    <row r="1111" spans="1:16" x14ac:dyDescent="0.2">
      <c r="A1111" s="1204" t="s">
        <v>2937</v>
      </c>
      <c r="B1111" s="1205" t="s">
        <v>2334</v>
      </c>
      <c r="C1111" s="1205" t="s">
        <v>1444</v>
      </c>
      <c r="D1111" s="1206" t="s">
        <v>1651</v>
      </c>
      <c r="E1111" s="1207">
        <v>1125</v>
      </c>
      <c r="F1111" s="1208" t="s">
        <v>3409</v>
      </c>
      <c r="G1111" s="1206" t="s">
        <v>3410</v>
      </c>
      <c r="H1111" s="1206" t="s">
        <v>1651</v>
      </c>
      <c r="I1111" s="1209" t="s">
        <v>2940</v>
      </c>
      <c r="J1111" s="1206" t="s">
        <v>1651</v>
      </c>
      <c r="K1111" s="1205">
        <v>2</v>
      </c>
      <c r="L1111" s="1205">
        <v>6</v>
      </c>
      <c r="M1111" s="1207">
        <v>6750</v>
      </c>
      <c r="N1111" s="1205">
        <v>2</v>
      </c>
      <c r="O1111" s="1205">
        <v>6</v>
      </c>
      <c r="P1111" s="1207">
        <v>6750</v>
      </c>
    </row>
    <row r="1112" spans="1:16" x14ac:dyDescent="0.2">
      <c r="A1112" s="1204" t="s">
        <v>2937</v>
      </c>
      <c r="B1112" s="1205" t="s">
        <v>2334</v>
      </c>
      <c r="C1112" s="1205" t="s">
        <v>1444</v>
      </c>
      <c r="D1112" s="1206" t="s">
        <v>1651</v>
      </c>
      <c r="E1112" s="1207">
        <v>1200</v>
      </c>
      <c r="F1112" s="1208" t="s">
        <v>3411</v>
      </c>
      <c r="G1112" s="1206" t="s">
        <v>3412</v>
      </c>
      <c r="H1112" s="1206" t="s">
        <v>1651</v>
      </c>
      <c r="I1112" s="1209" t="s">
        <v>2940</v>
      </c>
      <c r="J1112" s="1206" t="s">
        <v>1651</v>
      </c>
      <c r="K1112" s="1205">
        <v>3</v>
      </c>
      <c r="L1112" s="1205">
        <v>6</v>
      </c>
      <c r="M1112" s="1207">
        <v>7200</v>
      </c>
      <c r="N1112" s="1205">
        <v>3</v>
      </c>
      <c r="O1112" s="1205">
        <v>6</v>
      </c>
      <c r="P1112" s="1207">
        <v>7200</v>
      </c>
    </row>
    <row r="1113" spans="1:16" x14ac:dyDescent="0.2">
      <c r="A1113" s="1204" t="s">
        <v>2937</v>
      </c>
      <c r="B1113" s="1205" t="s">
        <v>2334</v>
      </c>
      <c r="C1113" s="1205" t="s">
        <v>1444</v>
      </c>
      <c r="D1113" s="1206" t="s">
        <v>1673</v>
      </c>
      <c r="E1113" s="1207">
        <v>4000</v>
      </c>
      <c r="F1113" s="1208" t="s">
        <v>3413</v>
      </c>
      <c r="G1113" s="1206" t="s">
        <v>3414</v>
      </c>
      <c r="H1113" s="1206" t="s">
        <v>1673</v>
      </c>
      <c r="I1113" s="1209" t="s">
        <v>2940</v>
      </c>
      <c r="J1113" s="1206" t="s">
        <v>1673</v>
      </c>
      <c r="K1113" s="1205">
        <v>0</v>
      </c>
      <c r="L1113" s="1205">
        <v>0</v>
      </c>
      <c r="M1113" s="1207">
        <v>0</v>
      </c>
      <c r="N1113" s="1205">
        <v>1</v>
      </c>
      <c r="O1113" s="1205">
        <v>1</v>
      </c>
      <c r="P1113" s="1207">
        <v>4000</v>
      </c>
    </row>
    <row r="1114" spans="1:16" x14ac:dyDescent="0.2">
      <c r="A1114" s="1204" t="s">
        <v>2937</v>
      </c>
      <c r="B1114" s="1205" t="s">
        <v>2334</v>
      </c>
      <c r="C1114" s="1205" t="s">
        <v>1444</v>
      </c>
      <c r="D1114" s="1206" t="s">
        <v>1656</v>
      </c>
      <c r="E1114" s="1207">
        <v>2500</v>
      </c>
      <c r="F1114" s="1208" t="s">
        <v>3415</v>
      </c>
      <c r="G1114" s="1206" t="s">
        <v>3416</v>
      </c>
      <c r="H1114" s="1206" t="s">
        <v>1656</v>
      </c>
      <c r="I1114" s="1209" t="s">
        <v>2940</v>
      </c>
      <c r="J1114" s="1206" t="s">
        <v>1656</v>
      </c>
      <c r="K1114" s="1205">
        <v>0</v>
      </c>
      <c r="L1114" s="1205">
        <v>0</v>
      </c>
      <c r="M1114" s="1207">
        <v>0</v>
      </c>
      <c r="N1114" s="1205">
        <v>1</v>
      </c>
      <c r="O1114" s="1205">
        <v>1</v>
      </c>
      <c r="P1114" s="1207">
        <v>2500</v>
      </c>
    </row>
    <row r="1115" spans="1:16" x14ac:dyDescent="0.2">
      <c r="A1115" s="1204" t="s">
        <v>2937</v>
      </c>
      <c r="B1115" s="1205" t="s">
        <v>2334</v>
      </c>
      <c r="C1115" s="1205" t="s">
        <v>1444</v>
      </c>
      <c r="D1115" s="1206" t="s">
        <v>1651</v>
      </c>
      <c r="E1115" s="1207">
        <v>1125</v>
      </c>
      <c r="F1115" s="1208" t="s">
        <v>3417</v>
      </c>
      <c r="G1115" s="1206" t="s">
        <v>3418</v>
      </c>
      <c r="H1115" s="1206" t="s">
        <v>1651</v>
      </c>
      <c r="I1115" s="1209" t="s">
        <v>2940</v>
      </c>
      <c r="J1115" s="1206" t="s">
        <v>1651</v>
      </c>
      <c r="K1115" s="1205">
        <v>2</v>
      </c>
      <c r="L1115" s="1205">
        <v>6</v>
      </c>
      <c r="M1115" s="1207">
        <v>6750</v>
      </c>
      <c r="N1115" s="1205">
        <v>2</v>
      </c>
      <c r="O1115" s="1205">
        <v>6</v>
      </c>
      <c r="P1115" s="1207">
        <v>6750</v>
      </c>
    </row>
    <row r="1116" spans="1:16" x14ac:dyDescent="0.2">
      <c r="A1116" s="1204" t="s">
        <v>2937</v>
      </c>
      <c r="B1116" s="1205" t="s">
        <v>2334</v>
      </c>
      <c r="C1116" s="1205" t="s">
        <v>1444</v>
      </c>
      <c r="D1116" s="1206" t="s">
        <v>1834</v>
      </c>
      <c r="E1116" s="1207">
        <v>5000</v>
      </c>
      <c r="F1116" s="1208" t="s">
        <v>3419</v>
      </c>
      <c r="G1116" s="1206" t="s">
        <v>3420</v>
      </c>
      <c r="H1116" s="1206" t="s">
        <v>1834</v>
      </c>
      <c r="I1116" s="1209" t="s">
        <v>2940</v>
      </c>
      <c r="J1116" s="1206" t="s">
        <v>1834</v>
      </c>
      <c r="K1116" s="1205">
        <v>1</v>
      </c>
      <c r="L1116" s="1205">
        <v>6</v>
      </c>
      <c r="M1116" s="1207">
        <v>30000</v>
      </c>
      <c r="N1116" s="1205">
        <v>1</v>
      </c>
      <c r="O1116" s="1205"/>
      <c r="P1116" s="1207">
        <v>0</v>
      </c>
    </row>
    <row r="1117" spans="1:16" x14ac:dyDescent="0.2">
      <c r="A1117" s="1204" t="s">
        <v>2937</v>
      </c>
      <c r="B1117" s="1205" t="s">
        <v>2334</v>
      </c>
      <c r="C1117" s="1205" t="s">
        <v>1444</v>
      </c>
      <c r="D1117" s="1206" t="s">
        <v>1651</v>
      </c>
      <c r="E1117" s="1207">
        <v>3000</v>
      </c>
      <c r="F1117" s="1208" t="s">
        <v>3421</v>
      </c>
      <c r="G1117" s="1206" t="s">
        <v>3422</v>
      </c>
      <c r="H1117" s="1206" t="s">
        <v>1651</v>
      </c>
      <c r="I1117" s="1209" t="s">
        <v>2940</v>
      </c>
      <c r="J1117" s="1206" t="s">
        <v>1651</v>
      </c>
      <c r="K1117" s="1205">
        <v>0</v>
      </c>
      <c r="L1117" s="1205">
        <v>0</v>
      </c>
      <c r="M1117" s="1207">
        <v>0</v>
      </c>
      <c r="N1117" s="1205">
        <v>1</v>
      </c>
      <c r="O1117" s="1205">
        <v>3</v>
      </c>
      <c r="P1117" s="1207">
        <v>9000</v>
      </c>
    </row>
    <row r="1118" spans="1:16" x14ac:dyDescent="0.2">
      <c r="A1118" s="1204" t="s">
        <v>2937</v>
      </c>
      <c r="B1118" s="1205" t="s">
        <v>2334</v>
      </c>
      <c r="C1118" s="1205" t="s">
        <v>1444</v>
      </c>
      <c r="D1118" s="1206" t="s">
        <v>1651</v>
      </c>
      <c r="E1118" s="1207">
        <v>1125</v>
      </c>
      <c r="F1118" s="1208" t="s">
        <v>3423</v>
      </c>
      <c r="G1118" s="1206" t="s">
        <v>3424</v>
      </c>
      <c r="H1118" s="1206" t="s">
        <v>1651</v>
      </c>
      <c r="I1118" s="1209" t="s">
        <v>2940</v>
      </c>
      <c r="J1118" s="1206" t="s">
        <v>1651</v>
      </c>
      <c r="K1118" s="1205">
        <v>2</v>
      </c>
      <c r="L1118" s="1205">
        <v>6</v>
      </c>
      <c r="M1118" s="1207">
        <v>6750</v>
      </c>
      <c r="N1118" s="1205">
        <v>2</v>
      </c>
      <c r="O1118" s="1205">
        <v>6</v>
      </c>
      <c r="P1118" s="1207">
        <v>6750</v>
      </c>
    </row>
    <row r="1119" spans="1:16" x14ac:dyDescent="0.2">
      <c r="A1119" s="1204" t="s">
        <v>2937</v>
      </c>
      <c r="B1119" s="1205" t="s">
        <v>2334</v>
      </c>
      <c r="C1119" s="1205" t="s">
        <v>1444</v>
      </c>
      <c r="D1119" s="1206" t="s">
        <v>1834</v>
      </c>
      <c r="E1119" s="1207">
        <v>5000</v>
      </c>
      <c r="F1119" s="1208" t="s">
        <v>3425</v>
      </c>
      <c r="G1119" s="1206" t="s">
        <v>3426</v>
      </c>
      <c r="H1119" s="1206" t="s">
        <v>1834</v>
      </c>
      <c r="I1119" s="1209" t="s">
        <v>2940</v>
      </c>
      <c r="J1119" s="1206" t="s">
        <v>1834</v>
      </c>
      <c r="K1119" s="1205">
        <v>1</v>
      </c>
      <c r="L1119" s="1205">
        <v>6</v>
      </c>
      <c r="M1119" s="1207">
        <v>30000</v>
      </c>
      <c r="N1119" s="1205">
        <v>1</v>
      </c>
      <c r="O1119" s="1205"/>
      <c r="P1119" s="1207">
        <v>0</v>
      </c>
    </row>
    <row r="1120" spans="1:16" x14ac:dyDescent="0.2">
      <c r="A1120" s="1204" t="s">
        <v>2937</v>
      </c>
      <c r="B1120" s="1205" t="s">
        <v>2334</v>
      </c>
      <c r="C1120" s="1205" t="s">
        <v>1444</v>
      </c>
      <c r="D1120" s="1206" t="s">
        <v>613</v>
      </c>
      <c r="E1120" s="1207">
        <v>1125</v>
      </c>
      <c r="F1120" s="1208" t="s">
        <v>3427</v>
      </c>
      <c r="G1120" s="1206" t="s">
        <v>3428</v>
      </c>
      <c r="H1120" s="1206" t="s">
        <v>613</v>
      </c>
      <c r="I1120" s="1209" t="s">
        <v>2940</v>
      </c>
      <c r="J1120" s="1206" t="s">
        <v>613</v>
      </c>
      <c r="K1120" s="1205">
        <v>0</v>
      </c>
      <c r="L1120" s="1205">
        <v>0</v>
      </c>
      <c r="M1120" s="1207">
        <v>0</v>
      </c>
      <c r="N1120" s="1205">
        <v>1</v>
      </c>
      <c r="O1120" s="1205">
        <v>6</v>
      </c>
      <c r="P1120" s="1207">
        <v>6750</v>
      </c>
    </row>
    <row r="1121" spans="1:16" x14ac:dyDescent="0.2">
      <c r="A1121" s="1204" t="s">
        <v>2937</v>
      </c>
      <c r="B1121" s="1205" t="s">
        <v>2334</v>
      </c>
      <c r="C1121" s="1205" t="s">
        <v>1444</v>
      </c>
      <c r="D1121" s="1206" t="s">
        <v>1651</v>
      </c>
      <c r="E1121" s="1207">
        <v>1125</v>
      </c>
      <c r="F1121" s="1208" t="s">
        <v>3429</v>
      </c>
      <c r="G1121" s="1206" t="s">
        <v>3430</v>
      </c>
      <c r="H1121" s="1206" t="s">
        <v>1651</v>
      </c>
      <c r="I1121" s="1209" t="s">
        <v>2940</v>
      </c>
      <c r="J1121" s="1206" t="s">
        <v>1651</v>
      </c>
      <c r="K1121" s="1205">
        <v>1</v>
      </c>
      <c r="L1121" s="1205">
        <v>6</v>
      </c>
      <c r="M1121" s="1207">
        <v>6750</v>
      </c>
      <c r="N1121" s="1205">
        <v>1</v>
      </c>
      <c r="O1121" s="1205"/>
      <c r="P1121" s="1207">
        <v>0</v>
      </c>
    </row>
    <row r="1122" spans="1:16" x14ac:dyDescent="0.2">
      <c r="A1122" s="1204" t="s">
        <v>2937</v>
      </c>
      <c r="B1122" s="1205" t="s">
        <v>2334</v>
      </c>
      <c r="C1122" s="1205" t="s">
        <v>1444</v>
      </c>
      <c r="D1122" s="1206" t="s">
        <v>1656</v>
      </c>
      <c r="E1122" s="1207">
        <v>2500</v>
      </c>
      <c r="F1122" s="1208" t="s">
        <v>3431</v>
      </c>
      <c r="G1122" s="1206" t="s">
        <v>3432</v>
      </c>
      <c r="H1122" s="1206" t="s">
        <v>1656</v>
      </c>
      <c r="I1122" s="1209" t="s">
        <v>2940</v>
      </c>
      <c r="J1122" s="1206" t="s">
        <v>1656</v>
      </c>
      <c r="K1122" s="1205">
        <v>0</v>
      </c>
      <c r="L1122" s="1205">
        <v>0</v>
      </c>
      <c r="M1122" s="1207">
        <v>0</v>
      </c>
      <c r="N1122" s="1205">
        <v>1</v>
      </c>
      <c r="O1122" s="1205">
        <v>1</v>
      </c>
      <c r="P1122" s="1207">
        <v>2500</v>
      </c>
    </row>
    <row r="1123" spans="1:16" x14ac:dyDescent="0.2">
      <c r="A1123" s="1204" t="s">
        <v>2937</v>
      </c>
      <c r="B1123" s="1205" t="s">
        <v>2334</v>
      </c>
      <c r="C1123" s="1205" t="s">
        <v>1444</v>
      </c>
      <c r="D1123" s="1206" t="s">
        <v>1651</v>
      </c>
      <c r="E1123" s="1207">
        <v>1125</v>
      </c>
      <c r="F1123" s="1208" t="s">
        <v>3433</v>
      </c>
      <c r="G1123" s="1206" t="s">
        <v>3434</v>
      </c>
      <c r="H1123" s="1206" t="s">
        <v>1651</v>
      </c>
      <c r="I1123" s="1209" t="s">
        <v>2940</v>
      </c>
      <c r="J1123" s="1206" t="s">
        <v>1651</v>
      </c>
      <c r="K1123" s="1205">
        <v>1</v>
      </c>
      <c r="L1123" s="1205">
        <v>6</v>
      </c>
      <c r="M1123" s="1207">
        <v>6750</v>
      </c>
      <c r="N1123" s="1205">
        <v>1</v>
      </c>
      <c r="O1123" s="1205"/>
      <c r="P1123" s="1207">
        <v>0</v>
      </c>
    </row>
    <row r="1124" spans="1:16" x14ac:dyDescent="0.2">
      <c r="A1124" s="1204" t="s">
        <v>2937</v>
      </c>
      <c r="B1124" s="1205" t="s">
        <v>2334</v>
      </c>
      <c r="C1124" s="1205" t="s">
        <v>1444</v>
      </c>
      <c r="D1124" s="1206" t="s">
        <v>1758</v>
      </c>
      <c r="E1124" s="1207">
        <v>4000</v>
      </c>
      <c r="F1124" s="1208" t="s">
        <v>3435</v>
      </c>
      <c r="G1124" s="1206" t="s">
        <v>3436</v>
      </c>
      <c r="H1124" s="1206" t="s">
        <v>1758</v>
      </c>
      <c r="I1124" s="1209" t="s">
        <v>2940</v>
      </c>
      <c r="J1124" s="1206" t="s">
        <v>1758</v>
      </c>
      <c r="K1124" s="1205">
        <v>0</v>
      </c>
      <c r="L1124" s="1205">
        <v>0</v>
      </c>
      <c r="M1124" s="1207">
        <v>0</v>
      </c>
      <c r="N1124" s="1205">
        <v>1</v>
      </c>
      <c r="O1124" s="1205">
        <v>1</v>
      </c>
      <c r="P1124" s="1207">
        <v>4000</v>
      </c>
    </row>
    <row r="1125" spans="1:16" x14ac:dyDescent="0.2">
      <c r="A1125" s="1204" t="s">
        <v>2937</v>
      </c>
      <c r="B1125" s="1205" t="s">
        <v>2334</v>
      </c>
      <c r="C1125" s="1205" t="s">
        <v>1444</v>
      </c>
      <c r="D1125" s="1206" t="s">
        <v>1651</v>
      </c>
      <c r="E1125" s="1207">
        <v>3000</v>
      </c>
      <c r="F1125" s="1208" t="s">
        <v>3437</v>
      </c>
      <c r="G1125" s="1206" t="s">
        <v>3438</v>
      </c>
      <c r="H1125" s="1206" t="s">
        <v>1651</v>
      </c>
      <c r="I1125" s="1209" t="s">
        <v>2940</v>
      </c>
      <c r="J1125" s="1206" t="s">
        <v>1651</v>
      </c>
      <c r="K1125" s="1205">
        <v>0</v>
      </c>
      <c r="L1125" s="1205">
        <v>0</v>
      </c>
      <c r="M1125" s="1207">
        <v>0</v>
      </c>
      <c r="N1125" s="1205">
        <v>1</v>
      </c>
      <c r="O1125" s="1205">
        <v>2</v>
      </c>
      <c r="P1125" s="1207">
        <v>6000</v>
      </c>
    </row>
    <row r="1126" spans="1:16" x14ac:dyDescent="0.2">
      <c r="A1126" s="1204" t="s">
        <v>2937</v>
      </c>
      <c r="B1126" s="1205" t="s">
        <v>2334</v>
      </c>
      <c r="C1126" s="1205" t="s">
        <v>1444</v>
      </c>
      <c r="D1126" s="1206" t="s">
        <v>1834</v>
      </c>
      <c r="E1126" s="1207">
        <v>8000</v>
      </c>
      <c r="F1126" s="1208" t="s">
        <v>3439</v>
      </c>
      <c r="G1126" s="1206" t="s">
        <v>3440</v>
      </c>
      <c r="H1126" s="1206" t="s">
        <v>1834</v>
      </c>
      <c r="I1126" s="1209" t="s">
        <v>2940</v>
      </c>
      <c r="J1126" s="1206" t="s">
        <v>1834</v>
      </c>
      <c r="K1126" s="1205">
        <v>0</v>
      </c>
      <c r="L1126" s="1205">
        <v>0</v>
      </c>
      <c r="M1126" s="1207">
        <v>0</v>
      </c>
      <c r="N1126" s="1205">
        <v>1</v>
      </c>
      <c r="O1126" s="1205">
        <v>3</v>
      </c>
      <c r="P1126" s="1207">
        <v>24000</v>
      </c>
    </row>
    <row r="1127" spans="1:16" x14ac:dyDescent="0.2">
      <c r="A1127" s="1204" t="s">
        <v>2937</v>
      </c>
      <c r="B1127" s="1205" t="s">
        <v>2334</v>
      </c>
      <c r="C1127" s="1205" t="s">
        <v>1444</v>
      </c>
      <c r="D1127" s="1206" t="s">
        <v>1744</v>
      </c>
      <c r="E1127" s="1207">
        <v>4000</v>
      </c>
      <c r="F1127" s="1208" t="s">
        <v>3441</v>
      </c>
      <c r="G1127" s="1206" t="s">
        <v>3442</v>
      </c>
      <c r="H1127" s="1206" t="s">
        <v>1744</v>
      </c>
      <c r="I1127" s="1209" t="s">
        <v>2940</v>
      </c>
      <c r="J1127" s="1206" t="s">
        <v>1744</v>
      </c>
      <c r="K1127" s="1205">
        <v>0</v>
      </c>
      <c r="L1127" s="1205">
        <v>0</v>
      </c>
      <c r="M1127" s="1207">
        <v>0</v>
      </c>
      <c r="N1127" s="1205">
        <v>1</v>
      </c>
      <c r="O1127" s="1205">
        <v>1</v>
      </c>
      <c r="P1127" s="1207">
        <v>4000</v>
      </c>
    </row>
    <row r="1128" spans="1:16" x14ac:dyDescent="0.2">
      <c r="A1128" s="1204" t="s">
        <v>2937</v>
      </c>
      <c r="B1128" s="1205" t="s">
        <v>2334</v>
      </c>
      <c r="C1128" s="1205" t="s">
        <v>1444</v>
      </c>
      <c r="D1128" s="1206" t="s">
        <v>1716</v>
      </c>
      <c r="E1128" s="1207">
        <v>2500</v>
      </c>
      <c r="F1128" s="1208" t="s">
        <v>3443</v>
      </c>
      <c r="G1128" s="1206" t="s">
        <v>3444</v>
      </c>
      <c r="H1128" s="1206" t="s">
        <v>1716</v>
      </c>
      <c r="I1128" s="1209" t="s">
        <v>2940</v>
      </c>
      <c r="J1128" s="1206" t="s">
        <v>1716</v>
      </c>
      <c r="K1128" s="1205">
        <v>0</v>
      </c>
      <c r="L1128" s="1205">
        <v>0</v>
      </c>
      <c r="M1128" s="1207">
        <v>0</v>
      </c>
      <c r="N1128" s="1205">
        <v>1</v>
      </c>
      <c r="O1128" s="1205">
        <v>1</v>
      </c>
      <c r="P1128" s="1207">
        <v>2500</v>
      </c>
    </row>
    <row r="1129" spans="1:16" x14ac:dyDescent="0.2">
      <c r="A1129" s="1204" t="s">
        <v>2937</v>
      </c>
      <c r="B1129" s="1205" t="s">
        <v>2334</v>
      </c>
      <c r="C1129" s="1205" t="s">
        <v>1444</v>
      </c>
      <c r="D1129" s="1206" t="s">
        <v>2565</v>
      </c>
      <c r="E1129" s="1207">
        <v>1060</v>
      </c>
      <c r="F1129" s="1208" t="s">
        <v>3445</v>
      </c>
      <c r="G1129" s="1206" t="s">
        <v>3446</v>
      </c>
      <c r="H1129" s="1206" t="s">
        <v>2565</v>
      </c>
      <c r="I1129" s="1209" t="s">
        <v>2940</v>
      </c>
      <c r="J1129" s="1206" t="s">
        <v>2565</v>
      </c>
      <c r="K1129" s="1205">
        <v>1</v>
      </c>
      <c r="L1129" s="1205">
        <v>6</v>
      </c>
      <c r="M1129" s="1207">
        <v>10800</v>
      </c>
      <c r="N1129" s="1205">
        <v>1</v>
      </c>
      <c r="O1129" s="1205">
        <v>6</v>
      </c>
      <c r="P1129" s="1207">
        <v>10800</v>
      </c>
    </row>
    <row r="1130" spans="1:16" x14ac:dyDescent="0.2">
      <c r="A1130" s="1204" t="s">
        <v>2937</v>
      </c>
      <c r="B1130" s="1205" t="s">
        <v>2334</v>
      </c>
      <c r="C1130" s="1205" t="s">
        <v>1444</v>
      </c>
      <c r="D1130" s="1206" t="s">
        <v>1651</v>
      </c>
      <c r="E1130" s="1207">
        <v>1200</v>
      </c>
      <c r="F1130" s="1208" t="s">
        <v>3447</v>
      </c>
      <c r="G1130" s="1206" t="s">
        <v>3448</v>
      </c>
      <c r="H1130" s="1206" t="s">
        <v>1651</v>
      </c>
      <c r="I1130" s="1209" t="s">
        <v>2940</v>
      </c>
      <c r="J1130" s="1206" t="s">
        <v>1651</v>
      </c>
      <c r="K1130" s="1205">
        <v>3</v>
      </c>
      <c r="L1130" s="1205">
        <v>6</v>
      </c>
      <c r="M1130" s="1207">
        <v>7200</v>
      </c>
      <c r="N1130" s="1205">
        <v>3</v>
      </c>
      <c r="O1130" s="1205">
        <v>6</v>
      </c>
      <c r="P1130" s="1207">
        <v>7200</v>
      </c>
    </row>
    <row r="1131" spans="1:16" x14ac:dyDescent="0.2">
      <c r="A1131" s="1204" t="s">
        <v>2937</v>
      </c>
      <c r="B1131" s="1205" t="s">
        <v>2334</v>
      </c>
      <c r="C1131" s="1205" t="s">
        <v>1444</v>
      </c>
      <c r="D1131" s="1206" t="s">
        <v>1651</v>
      </c>
      <c r="E1131" s="1207">
        <v>3000</v>
      </c>
      <c r="F1131" s="1208" t="s">
        <v>3449</v>
      </c>
      <c r="G1131" s="1206" t="s">
        <v>3450</v>
      </c>
      <c r="H1131" s="1206" t="s">
        <v>1651</v>
      </c>
      <c r="I1131" s="1209" t="s">
        <v>2940</v>
      </c>
      <c r="J1131" s="1206" t="s">
        <v>1651</v>
      </c>
      <c r="K1131" s="1205">
        <v>0</v>
      </c>
      <c r="L1131" s="1205">
        <v>0</v>
      </c>
      <c r="M1131" s="1207">
        <v>0</v>
      </c>
      <c r="N1131" s="1205">
        <v>1</v>
      </c>
      <c r="O1131" s="1205">
        <v>3</v>
      </c>
      <c r="P1131" s="1207">
        <v>9000</v>
      </c>
    </row>
    <row r="1132" spans="1:16" x14ac:dyDescent="0.2">
      <c r="A1132" s="1204" t="s">
        <v>2937</v>
      </c>
      <c r="B1132" s="1205" t="s">
        <v>2334</v>
      </c>
      <c r="C1132" s="1205" t="s">
        <v>1444</v>
      </c>
      <c r="D1132" s="1206" t="s">
        <v>3451</v>
      </c>
      <c r="E1132" s="1207">
        <v>1000</v>
      </c>
      <c r="F1132" s="1208" t="s">
        <v>3452</v>
      </c>
      <c r="G1132" s="1206" t="s">
        <v>3453</v>
      </c>
      <c r="H1132" s="1206" t="s">
        <v>3451</v>
      </c>
      <c r="I1132" s="1209" t="s">
        <v>2940</v>
      </c>
      <c r="J1132" s="1206" t="s">
        <v>3451</v>
      </c>
      <c r="K1132" s="1205">
        <v>10</v>
      </c>
      <c r="L1132" s="1205">
        <v>3</v>
      </c>
      <c r="M1132" s="1207">
        <v>3000</v>
      </c>
      <c r="N1132" s="1205">
        <v>10</v>
      </c>
      <c r="O1132" s="1205">
        <v>3</v>
      </c>
      <c r="P1132" s="1207">
        <v>3000</v>
      </c>
    </row>
    <row r="1133" spans="1:16" x14ac:dyDescent="0.2">
      <c r="A1133" s="1204" t="s">
        <v>2937</v>
      </c>
      <c r="B1133" s="1205" t="s">
        <v>2334</v>
      </c>
      <c r="C1133" s="1205" t="s">
        <v>1444</v>
      </c>
      <c r="D1133" s="1206" t="s">
        <v>1651</v>
      </c>
      <c r="E1133" s="1207">
        <v>3000</v>
      </c>
      <c r="F1133" s="1208" t="s">
        <v>3454</v>
      </c>
      <c r="G1133" s="1206" t="s">
        <v>3455</v>
      </c>
      <c r="H1133" s="1206" t="s">
        <v>1651</v>
      </c>
      <c r="I1133" s="1209" t="s">
        <v>2940</v>
      </c>
      <c r="J1133" s="1206" t="s">
        <v>1651</v>
      </c>
      <c r="K1133" s="1205">
        <v>0</v>
      </c>
      <c r="L1133" s="1205">
        <v>0</v>
      </c>
      <c r="M1133" s="1207">
        <v>0</v>
      </c>
      <c r="N1133" s="1205">
        <v>1</v>
      </c>
      <c r="O1133" s="1205">
        <v>3</v>
      </c>
      <c r="P1133" s="1207">
        <v>9000</v>
      </c>
    </row>
    <row r="1134" spans="1:16" x14ac:dyDescent="0.2">
      <c r="A1134" s="1204" t="s">
        <v>2937</v>
      </c>
      <c r="B1134" s="1205" t="s">
        <v>2334</v>
      </c>
      <c r="C1134" s="1205" t="s">
        <v>1444</v>
      </c>
      <c r="D1134" s="1206" t="s">
        <v>2565</v>
      </c>
      <c r="E1134" s="1207">
        <v>1200</v>
      </c>
      <c r="F1134" s="1208" t="s">
        <v>3456</v>
      </c>
      <c r="G1134" s="1206" t="s">
        <v>3457</v>
      </c>
      <c r="H1134" s="1206" t="s">
        <v>2565</v>
      </c>
      <c r="I1134" s="1209" t="s">
        <v>2940</v>
      </c>
      <c r="J1134" s="1206" t="s">
        <v>2565</v>
      </c>
      <c r="K1134" s="1205">
        <v>3</v>
      </c>
      <c r="L1134" s="1205">
        <v>6</v>
      </c>
      <c r="M1134" s="1207">
        <v>7200</v>
      </c>
      <c r="N1134" s="1205">
        <v>3</v>
      </c>
      <c r="O1134" s="1205">
        <v>6</v>
      </c>
      <c r="P1134" s="1207">
        <v>7200</v>
      </c>
    </row>
    <row r="1135" spans="1:16" x14ac:dyDescent="0.2">
      <c r="A1135" s="1204" t="s">
        <v>2937</v>
      </c>
      <c r="B1135" s="1205" t="s">
        <v>2334</v>
      </c>
      <c r="C1135" s="1205" t="s">
        <v>1444</v>
      </c>
      <c r="D1135" s="1206" t="s">
        <v>1834</v>
      </c>
      <c r="E1135" s="1207">
        <v>8000</v>
      </c>
      <c r="F1135" s="1208" t="s">
        <v>3458</v>
      </c>
      <c r="G1135" s="1206" t="s">
        <v>3459</v>
      </c>
      <c r="H1135" s="1206" t="s">
        <v>1834</v>
      </c>
      <c r="I1135" s="1209" t="s">
        <v>2940</v>
      </c>
      <c r="J1135" s="1206" t="s">
        <v>1834</v>
      </c>
      <c r="K1135" s="1205">
        <v>0</v>
      </c>
      <c r="L1135" s="1205">
        <v>0</v>
      </c>
      <c r="M1135" s="1207">
        <v>0</v>
      </c>
      <c r="N1135" s="1205">
        <v>1</v>
      </c>
      <c r="O1135" s="1205">
        <v>1</v>
      </c>
      <c r="P1135" s="1207">
        <v>8000</v>
      </c>
    </row>
    <row r="1136" spans="1:16" x14ac:dyDescent="0.2">
      <c r="A1136" s="1204" t="s">
        <v>2937</v>
      </c>
      <c r="B1136" s="1205" t="s">
        <v>2334</v>
      </c>
      <c r="C1136" s="1205" t="s">
        <v>1444</v>
      </c>
      <c r="D1136" s="1206" t="s">
        <v>1666</v>
      </c>
      <c r="E1136" s="1207">
        <v>2200</v>
      </c>
      <c r="F1136" s="1208" t="s">
        <v>3460</v>
      </c>
      <c r="G1136" s="1206" t="s">
        <v>3461</v>
      </c>
      <c r="H1136" s="1206" t="s">
        <v>1666</v>
      </c>
      <c r="I1136" s="1209" t="s">
        <v>2940</v>
      </c>
      <c r="J1136" s="1206" t="s">
        <v>1666</v>
      </c>
      <c r="K1136" s="1205">
        <v>2</v>
      </c>
      <c r="L1136" s="1205">
        <v>6</v>
      </c>
      <c r="M1136" s="1207">
        <v>13200</v>
      </c>
      <c r="N1136" s="1205">
        <v>2</v>
      </c>
      <c r="O1136" s="1205">
        <v>6</v>
      </c>
      <c r="P1136" s="1207">
        <v>13200</v>
      </c>
    </row>
    <row r="1137" spans="1:16" x14ac:dyDescent="0.2">
      <c r="A1137" s="1204" t="s">
        <v>2937</v>
      </c>
      <c r="B1137" s="1205" t="s">
        <v>2334</v>
      </c>
      <c r="C1137" s="1205" t="s">
        <v>1444</v>
      </c>
      <c r="D1137" s="1206" t="s">
        <v>2337</v>
      </c>
      <c r="E1137" s="1207">
        <v>4000</v>
      </c>
      <c r="F1137" s="1208" t="s">
        <v>3462</v>
      </c>
      <c r="G1137" s="1206" t="s">
        <v>3463</v>
      </c>
      <c r="H1137" s="1206" t="s">
        <v>2337</v>
      </c>
      <c r="I1137" s="1209" t="s">
        <v>2940</v>
      </c>
      <c r="J1137" s="1206" t="s">
        <v>2337</v>
      </c>
      <c r="K1137" s="1205">
        <v>0</v>
      </c>
      <c r="L1137" s="1205">
        <v>0</v>
      </c>
      <c r="M1137" s="1207">
        <v>0</v>
      </c>
      <c r="N1137" s="1205">
        <v>1</v>
      </c>
      <c r="O1137" s="1205">
        <v>3</v>
      </c>
      <c r="P1137" s="1207">
        <v>12000</v>
      </c>
    </row>
    <row r="1138" spans="1:16" x14ac:dyDescent="0.2">
      <c r="A1138" s="1204" t="s">
        <v>2937</v>
      </c>
      <c r="B1138" s="1205" t="s">
        <v>2334</v>
      </c>
      <c r="C1138" s="1205" t="s">
        <v>1444</v>
      </c>
      <c r="D1138" s="1206" t="s">
        <v>2337</v>
      </c>
      <c r="E1138" s="1207">
        <v>2200</v>
      </c>
      <c r="F1138" s="1208" t="s">
        <v>3464</v>
      </c>
      <c r="G1138" s="1206" t="s">
        <v>3465</v>
      </c>
      <c r="H1138" s="1206" t="s">
        <v>2337</v>
      </c>
      <c r="I1138" s="1209" t="s">
        <v>2940</v>
      </c>
      <c r="J1138" s="1206" t="s">
        <v>2337</v>
      </c>
      <c r="K1138" s="1205">
        <v>3</v>
      </c>
      <c r="L1138" s="1205">
        <v>6</v>
      </c>
      <c r="M1138" s="1207">
        <v>13200</v>
      </c>
      <c r="N1138" s="1205">
        <v>3</v>
      </c>
      <c r="O1138" s="1205">
        <v>6</v>
      </c>
      <c r="P1138" s="1207">
        <v>13200</v>
      </c>
    </row>
    <row r="1139" spans="1:16" x14ac:dyDescent="0.2">
      <c r="A1139" s="1204" t="s">
        <v>2937</v>
      </c>
      <c r="B1139" s="1205" t="s">
        <v>2334</v>
      </c>
      <c r="C1139" s="1205" t="s">
        <v>1444</v>
      </c>
      <c r="D1139" s="1206" t="s">
        <v>2337</v>
      </c>
      <c r="E1139" s="1207">
        <v>4000</v>
      </c>
      <c r="F1139" s="1208" t="s">
        <v>3466</v>
      </c>
      <c r="G1139" s="1206" t="s">
        <v>3467</v>
      </c>
      <c r="H1139" s="1206" t="s">
        <v>2337</v>
      </c>
      <c r="I1139" s="1209" t="s">
        <v>2940</v>
      </c>
      <c r="J1139" s="1206" t="s">
        <v>2337</v>
      </c>
      <c r="K1139" s="1205">
        <v>0</v>
      </c>
      <c r="L1139" s="1205">
        <v>0</v>
      </c>
      <c r="M1139" s="1207">
        <v>0</v>
      </c>
      <c r="N1139" s="1205">
        <v>1</v>
      </c>
      <c r="O1139" s="1205">
        <v>2</v>
      </c>
      <c r="P1139" s="1207">
        <v>8000</v>
      </c>
    </row>
    <row r="1140" spans="1:16" x14ac:dyDescent="0.2">
      <c r="A1140" s="1204" t="s">
        <v>2937</v>
      </c>
      <c r="B1140" s="1205" t="s">
        <v>2334</v>
      </c>
      <c r="C1140" s="1205" t="s">
        <v>1444</v>
      </c>
      <c r="D1140" s="1206" t="s">
        <v>1834</v>
      </c>
      <c r="E1140" s="1207">
        <v>6000</v>
      </c>
      <c r="F1140" s="1208" t="s">
        <v>3468</v>
      </c>
      <c r="G1140" s="1206" t="s">
        <v>3469</v>
      </c>
      <c r="H1140" s="1206" t="s">
        <v>1834</v>
      </c>
      <c r="I1140" s="1209" t="s">
        <v>2940</v>
      </c>
      <c r="J1140" s="1206" t="s">
        <v>1834</v>
      </c>
      <c r="K1140" s="1205">
        <v>0</v>
      </c>
      <c r="L1140" s="1205">
        <v>0</v>
      </c>
      <c r="M1140" s="1207">
        <v>0</v>
      </c>
      <c r="N1140" s="1205">
        <v>1</v>
      </c>
      <c r="O1140" s="1205">
        <v>6</v>
      </c>
      <c r="P1140" s="1207">
        <v>36000</v>
      </c>
    </row>
    <row r="1141" spans="1:16" x14ac:dyDescent="0.2">
      <c r="A1141" s="1204" t="s">
        <v>2937</v>
      </c>
      <c r="B1141" s="1205" t="s">
        <v>2334</v>
      </c>
      <c r="C1141" s="1205" t="s">
        <v>1444</v>
      </c>
      <c r="D1141" s="1206" t="s">
        <v>1651</v>
      </c>
      <c r="E1141" s="1207">
        <v>3000</v>
      </c>
      <c r="F1141" s="1208" t="s">
        <v>3470</v>
      </c>
      <c r="G1141" s="1206" t="s">
        <v>3471</v>
      </c>
      <c r="H1141" s="1206" t="s">
        <v>1651</v>
      </c>
      <c r="I1141" s="1209" t="s">
        <v>2940</v>
      </c>
      <c r="J1141" s="1206" t="s">
        <v>1651</v>
      </c>
      <c r="K1141" s="1205">
        <v>0</v>
      </c>
      <c r="L1141" s="1205">
        <v>0</v>
      </c>
      <c r="M1141" s="1207">
        <v>0</v>
      </c>
      <c r="N1141" s="1205">
        <v>1</v>
      </c>
      <c r="O1141" s="1205">
        <v>3</v>
      </c>
      <c r="P1141" s="1207">
        <v>9000</v>
      </c>
    </row>
    <row r="1142" spans="1:16" x14ac:dyDescent="0.2">
      <c r="A1142" s="1204" t="s">
        <v>2937</v>
      </c>
      <c r="B1142" s="1205" t="s">
        <v>2334</v>
      </c>
      <c r="C1142" s="1205" t="s">
        <v>1444</v>
      </c>
      <c r="D1142" s="1206" t="s">
        <v>2337</v>
      </c>
      <c r="E1142" s="1207">
        <v>2200</v>
      </c>
      <c r="F1142" s="1208" t="s">
        <v>3472</v>
      </c>
      <c r="G1142" s="1206" t="s">
        <v>3473</v>
      </c>
      <c r="H1142" s="1206" t="s">
        <v>2337</v>
      </c>
      <c r="I1142" s="1209" t="s">
        <v>2940</v>
      </c>
      <c r="J1142" s="1206" t="s">
        <v>2337</v>
      </c>
      <c r="K1142" s="1205">
        <v>5</v>
      </c>
      <c r="L1142" s="1205">
        <v>6</v>
      </c>
      <c r="M1142" s="1207">
        <v>13200</v>
      </c>
      <c r="N1142" s="1205">
        <v>5</v>
      </c>
      <c r="O1142" s="1205">
        <v>6</v>
      </c>
      <c r="P1142" s="1207">
        <v>13200</v>
      </c>
    </row>
    <row r="1143" spans="1:16" x14ac:dyDescent="0.2">
      <c r="A1143" s="1204" t="s">
        <v>2937</v>
      </c>
      <c r="B1143" s="1205" t="s">
        <v>2334</v>
      </c>
      <c r="C1143" s="1205" t="s">
        <v>1444</v>
      </c>
      <c r="D1143" s="1206" t="s">
        <v>1651</v>
      </c>
      <c r="E1143" s="1207">
        <v>3000</v>
      </c>
      <c r="F1143" s="1208" t="s">
        <v>3474</v>
      </c>
      <c r="G1143" s="1206" t="s">
        <v>3475</v>
      </c>
      <c r="H1143" s="1206" t="s">
        <v>1651</v>
      </c>
      <c r="I1143" s="1209" t="s">
        <v>2940</v>
      </c>
      <c r="J1143" s="1206" t="s">
        <v>1651</v>
      </c>
      <c r="K1143" s="1205">
        <v>0</v>
      </c>
      <c r="L1143" s="1205">
        <v>0</v>
      </c>
      <c r="M1143" s="1207">
        <v>0</v>
      </c>
      <c r="N1143" s="1205">
        <v>1</v>
      </c>
      <c r="O1143" s="1205">
        <v>1</v>
      </c>
      <c r="P1143" s="1207">
        <v>3000</v>
      </c>
    </row>
    <row r="1144" spans="1:16" x14ac:dyDescent="0.2">
      <c r="A1144" s="1204" t="s">
        <v>2937</v>
      </c>
      <c r="B1144" s="1205" t="s">
        <v>2334</v>
      </c>
      <c r="C1144" s="1205" t="s">
        <v>1444</v>
      </c>
      <c r="D1144" s="1206" t="s">
        <v>1834</v>
      </c>
      <c r="E1144" s="1207">
        <v>6000</v>
      </c>
      <c r="F1144" s="1208" t="s">
        <v>3476</v>
      </c>
      <c r="G1144" s="1206" t="s">
        <v>3477</v>
      </c>
      <c r="H1144" s="1206" t="s">
        <v>1834</v>
      </c>
      <c r="I1144" s="1209" t="s">
        <v>2940</v>
      </c>
      <c r="J1144" s="1206" t="s">
        <v>1834</v>
      </c>
      <c r="K1144" s="1205">
        <v>2</v>
      </c>
      <c r="L1144" s="1205">
        <v>6</v>
      </c>
      <c r="M1144" s="1207">
        <v>36000</v>
      </c>
      <c r="N1144" s="1205">
        <v>2</v>
      </c>
      <c r="O1144" s="1205">
        <v>6</v>
      </c>
      <c r="P1144" s="1207">
        <v>36000</v>
      </c>
    </row>
    <row r="1145" spans="1:16" x14ac:dyDescent="0.2">
      <c r="A1145" s="1204" t="s">
        <v>2937</v>
      </c>
      <c r="B1145" s="1205" t="s">
        <v>2334</v>
      </c>
      <c r="C1145" s="1205" t="s">
        <v>1444</v>
      </c>
      <c r="D1145" s="1206" t="s">
        <v>2714</v>
      </c>
      <c r="E1145" s="1207">
        <v>4500</v>
      </c>
      <c r="F1145" s="1208" t="s">
        <v>3478</v>
      </c>
      <c r="G1145" s="1206" t="s">
        <v>3479</v>
      </c>
      <c r="H1145" s="1206" t="s">
        <v>2714</v>
      </c>
      <c r="I1145" s="1209" t="s">
        <v>2940</v>
      </c>
      <c r="J1145" s="1206" t="s">
        <v>2714</v>
      </c>
      <c r="K1145" s="1205">
        <v>2</v>
      </c>
      <c r="L1145" s="1205">
        <v>6</v>
      </c>
      <c r="M1145" s="1207">
        <v>27000</v>
      </c>
      <c r="N1145" s="1205">
        <v>2</v>
      </c>
      <c r="O1145" s="1205">
        <v>6</v>
      </c>
      <c r="P1145" s="1207">
        <v>27000</v>
      </c>
    </row>
    <row r="1146" spans="1:16" x14ac:dyDescent="0.2">
      <c r="A1146" s="1204" t="s">
        <v>2937</v>
      </c>
      <c r="B1146" s="1205" t="s">
        <v>2334</v>
      </c>
      <c r="C1146" s="1205" t="s">
        <v>1444</v>
      </c>
      <c r="D1146" s="1206" t="s">
        <v>1834</v>
      </c>
      <c r="E1146" s="1207">
        <v>6000</v>
      </c>
      <c r="F1146" s="1208" t="s">
        <v>3480</v>
      </c>
      <c r="G1146" s="1206" t="s">
        <v>3481</v>
      </c>
      <c r="H1146" s="1206" t="s">
        <v>1834</v>
      </c>
      <c r="I1146" s="1209" t="s">
        <v>2940</v>
      </c>
      <c r="J1146" s="1206" t="s">
        <v>1834</v>
      </c>
      <c r="K1146" s="1205">
        <v>1</v>
      </c>
      <c r="L1146" s="1205">
        <v>6</v>
      </c>
      <c r="M1146" s="1207">
        <v>36000</v>
      </c>
      <c r="N1146" s="1205">
        <v>1</v>
      </c>
      <c r="O1146" s="1205"/>
      <c r="P1146" s="1207">
        <v>0</v>
      </c>
    </row>
    <row r="1147" spans="1:16" x14ac:dyDescent="0.2">
      <c r="A1147" s="1204" t="s">
        <v>2937</v>
      </c>
      <c r="B1147" s="1205" t="s">
        <v>2334</v>
      </c>
      <c r="C1147" s="1205" t="s">
        <v>1444</v>
      </c>
      <c r="D1147" s="1206" t="s">
        <v>1716</v>
      </c>
      <c r="E1147" s="1207">
        <v>2500</v>
      </c>
      <c r="F1147" s="1208" t="s">
        <v>3482</v>
      </c>
      <c r="G1147" s="1206" t="s">
        <v>3483</v>
      </c>
      <c r="H1147" s="1206" t="s">
        <v>1716</v>
      </c>
      <c r="I1147" s="1209" t="s">
        <v>2940</v>
      </c>
      <c r="J1147" s="1206" t="s">
        <v>1716</v>
      </c>
      <c r="K1147" s="1205">
        <v>0</v>
      </c>
      <c r="L1147" s="1205">
        <v>0</v>
      </c>
      <c r="M1147" s="1207">
        <v>0</v>
      </c>
      <c r="N1147" s="1205">
        <v>1</v>
      </c>
      <c r="O1147" s="1205">
        <v>1</v>
      </c>
      <c r="P1147" s="1207">
        <v>2500</v>
      </c>
    </row>
    <row r="1148" spans="1:16" x14ac:dyDescent="0.2">
      <c r="A1148" s="1204" t="s">
        <v>2937</v>
      </c>
      <c r="B1148" s="1205" t="s">
        <v>2334</v>
      </c>
      <c r="C1148" s="1205" t="s">
        <v>1444</v>
      </c>
      <c r="D1148" s="1206" t="s">
        <v>2337</v>
      </c>
      <c r="E1148" s="1207">
        <v>2200</v>
      </c>
      <c r="F1148" s="1208" t="s">
        <v>3484</v>
      </c>
      <c r="G1148" s="1206" t="s">
        <v>3485</v>
      </c>
      <c r="H1148" s="1206" t="s">
        <v>2337</v>
      </c>
      <c r="I1148" s="1209" t="s">
        <v>2940</v>
      </c>
      <c r="J1148" s="1206" t="s">
        <v>2337</v>
      </c>
      <c r="K1148" s="1205">
        <v>4</v>
      </c>
      <c r="L1148" s="1205">
        <v>6</v>
      </c>
      <c r="M1148" s="1207">
        <v>13200</v>
      </c>
      <c r="N1148" s="1205">
        <v>4</v>
      </c>
      <c r="O1148" s="1205">
        <v>6</v>
      </c>
      <c r="P1148" s="1207">
        <v>13200</v>
      </c>
    </row>
    <row r="1149" spans="1:16" x14ac:dyDescent="0.2">
      <c r="A1149" s="1204" t="s">
        <v>2937</v>
      </c>
      <c r="B1149" s="1205" t="s">
        <v>2334</v>
      </c>
      <c r="C1149" s="1205" t="s">
        <v>1444</v>
      </c>
      <c r="D1149" s="1206" t="s">
        <v>1651</v>
      </c>
      <c r="E1149" s="1207">
        <v>1125</v>
      </c>
      <c r="F1149" s="1208" t="s">
        <v>3486</v>
      </c>
      <c r="G1149" s="1206" t="s">
        <v>3487</v>
      </c>
      <c r="H1149" s="1206" t="s">
        <v>1651</v>
      </c>
      <c r="I1149" s="1209" t="s">
        <v>2940</v>
      </c>
      <c r="J1149" s="1206" t="s">
        <v>1651</v>
      </c>
      <c r="K1149" s="1205">
        <v>2</v>
      </c>
      <c r="L1149" s="1205">
        <v>6</v>
      </c>
      <c r="M1149" s="1207">
        <v>6750</v>
      </c>
      <c r="N1149" s="1205">
        <v>2</v>
      </c>
      <c r="O1149" s="1205">
        <v>6</v>
      </c>
      <c r="P1149" s="1207">
        <v>6750</v>
      </c>
    </row>
    <row r="1150" spans="1:16" x14ac:dyDescent="0.2">
      <c r="A1150" s="1204" t="s">
        <v>2937</v>
      </c>
      <c r="B1150" s="1205" t="s">
        <v>2334</v>
      </c>
      <c r="C1150" s="1205" t="s">
        <v>1444</v>
      </c>
      <c r="D1150" s="1206" t="s">
        <v>1744</v>
      </c>
      <c r="E1150" s="1207">
        <v>2200</v>
      </c>
      <c r="F1150" s="1208" t="s">
        <v>3488</v>
      </c>
      <c r="G1150" s="1206" t="s">
        <v>3489</v>
      </c>
      <c r="H1150" s="1206" t="s">
        <v>1744</v>
      </c>
      <c r="I1150" s="1209" t="s">
        <v>2940</v>
      </c>
      <c r="J1150" s="1206" t="s">
        <v>1744</v>
      </c>
      <c r="K1150" s="1205">
        <v>2</v>
      </c>
      <c r="L1150" s="1205">
        <v>6</v>
      </c>
      <c r="M1150" s="1207">
        <v>13200</v>
      </c>
      <c r="N1150" s="1205">
        <v>2</v>
      </c>
      <c r="O1150" s="1205">
        <v>6</v>
      </c>
      <c r="P1150" s="1207">
        <v>13200</v>
      </c>
    </row>
    <row r="1151" spans="1:16" x14ac:dyDescent="0.2">
      <c r="A1151" s="1204" t="s">
        <v>2937</v>
      </c>
      <c r="B1151" s="1205" t="s">
        <v>2334</v>
      </c>
      <c r="C1151" s="1205" t="s">
        <v>1444</v>
      </c>
      <c r="D1151" s="1206" t="s">
        <v>2337</v>
      </c>
      <c r="E1151" s="1207">
        <v>2200</v>
      </c>
      <c r="F1151" s="1208" t="s">
        <v>3490</v>
      </c>
      <c r="G1151" s="1206" t="s">
        <v>3491</v>
      </c>
      <c r="H1151" s="1206" t="s">
        <v>2337</v>
      </c>
      <c r="I1151" s="1209" t="s">
        <v>2940</v>
      </c>
      <c r="J1151" s="1206" t="s">
        <v>2337</v>
      </c>
      <c r="K1151" s="1205">
        <v>1</v>
      </c>
      <c r="L1151" s="1205">
        <v>6</v>
      </c>
      <c r="M1151" s="1207">
        <v>13200</v>
      </c>
      <c r="N1151" s="1205">
        <v>1</v>
      </c>
      <c r="O1151" s="1205">
        <v>6</v>
      </c>
      <c r="P1151" s="1207">
        <v>13200</v>
      </c>
    </row>
    <row r="1152" spans="1:16" ht="12.75" x14ac:dyDescent="0.2">
      <c r="A1152" s="1204" t="s">
        <v>2937</v>
      </c>
      <c r="B1152" s="1205" t="s">
        <v>2334</v>
      </c>
      <c r="C1152" s="1205" t="s">
        <v>1444</v>
      </c>
      <c r="D1152" s="1206" t="s">
        <v>1666</v>
      </c>
      <c r="E1152" s="1207">
        <v>2200</v>
      </c>
      <c r="F1152" s="1208" t="s">
        <v>3492</v>
      </c>
      <c r="G1152" s="1206" t="s">
        <v>3493</v>
      </c>
      <c r="H1152" s="1206" t="s">
        <v>1666</v>
      </c>
      <c r="I1152" s="1209" t="s">
        <v>2940</v>
      </c>
      <c r="J1152" s="1206" t="s">
        <v>1666</v>
      </c>
      <c r="K1152" s="1205">
        <v>2</v>
      </c>
      <c r="L1152" s="1205">
        <v>6</v>
      </c>
      <c r="M1152" s="1207">
        <v>13200</v>
      </c>
      <c r="N1152" s="1210">
        <v>2</v>
      </c>
      <c r="O1152" s="1210">
        <v>6</v>
      </c>
      <c r="P1152" s="1211">
        <v>13200</v>
      </c>
    </row>
    <row r="1153" spans="1:16" x14ac:dyDescent="0.2">
      <c r="A1153" s="1204" t="s">
        <v>2937</v>
      </c>
      <c r="B1153" s="1205" t="s">
        <v>2334</v>
      </c>
      <c r="C1153" s="1205" t="s">
        <v>1444</v>
      </c>
      <c r="D1153" s="1206" t="s">
        <v>1651</v>
      </c>
      <c r="E1153" s="1207">
        <v>1125</v>
      </c>
      <c r="F1153" s="1208" t="s">
        <v>3494</v>
      </c>
      <c r="G1153" s="1206" t="s">
        <v>3495</v>
      </c>
      <c r="H1153" s="1206" t="s">
        <v>1651</v>
      </c>
      <c r="I1153" s="1209" t="s">
        <v>2940</v>
      </c>
      <c r="J1153" s="1206" t="s">
        <v>1651</v>
      </c>
      <c r="K1153" s="1205">
        <v>4</v>
      </c>
      <c r="L1153" s="1205">
        <v>6</v>
      </c>
      <c r="M1153" s="1207">
        <v>6750</v>
      </c>
      <c r="N1153" s="1205">
        <v>4</v>
      </c>
      <c r="O1153" s="1205">
        <v>6</v>
      </c>
      <c r="P1153" s="1207">
        <v>6750</v>
      </c>
    </row>
    <row r="1154" spans="1:16" x14ac:dyDescent="0.2">
      <c r="A1154" s="1204" t="s">
        <v>2937</v>
      </c>
      <c r="B1154" s="1205" t="s">
        <v>2334</v>
      </c>
      <c r="C1154" s="1205" t="s">
        <v>1444</v>
      </c>
      <c r="D1154" s="1206" t="s">
        <v>2337</v>
      </c>
      <c r="E1154" s="1207">
        <v>2200</v>
      </c>
      <c r="F1154" s="1208" t="s">
        <v>3496</v>
      </c>
      <c r="G1154" s="1206" t="s">
        <v>3497</v>
      </c>
      <c r="H1154" s="1206" t="s">
        <v>2337</v>
      </c>
      <c r="I1154" s="1209" t="s">
        <v>2940</v>
      </c>
      <c r="J1154" s="1206" t="s">
        <v>2337</v>
      </c>
      <c r="K1154" s="1205">
        <v>5</v>
      </c>
      <c r="L1154" s="1205">
        <v>6</v>
      </c>
      <c r="M1154" s="1207">
        <v>13200</v>
      </c>
      <c r="N1154" s="1205">
        <v>5</v>
      </c>
      <c r="O1154" s="1205">
        <v>6</v>
      </c>
      <c r="P1154" s="1207">
        <v>13200</v>
      </c>
    </row>
    <row r="1155" spans="1:16" ht="12.75" x14ac:dyDescent="0.2">
      <c r="A1155" s="1204" t="s">
        <v>2937</v>
      </c>
      <c r="B1155" s="1205" t="s">
        <v>2334</v>
      </c>
      <c r="C1155" s="1205" t="s">
        <v>1444</v>
      </c>
      <c r="D1155" s="1206" t="s">
        <v>1834</v>
      </c>
      <c r="E1155" s="1207">
        <v>5000</v>
      </c>
      <c r="F1155" s="1208" t="s">
        <v>3498</v>
      </c>
      <c r="G1155" s="1206" t="s">
        <v>3499</v>
      </c>
      <c r="H1155" s="1206" t="s">
        <v>1834</v>
      </c>
      <c r="I1155" s="1209" t="s">
        <v>2940</v>
      </c>
      <c r="J1155" s="1206" t="s">
        <v>1834</v>
      </c>
      <c r="K1155" s="1205">
        <v>2</v>
      </c>
      <c r="L1155" s="1205">
        <v>5</v>
      </c>
      <c r="M1155" s="1207">
        <v>25000</v>
      </c>
      <c r="N1155" s="1210">
        <v>2</v>
      </c>
      <c r="O1155" s="1210">
        <v>5</v>
      </c>
      <c r="P1155" s="1211">
        <v>25000</v>
      </c>
    </row>
    <row r="1156" spans="1:16" x14ac:dyDescent="0.2">
      <c r="A1156" s="1204" t="s">
        <v>2937</v>
      </c>
      <c r="B1156" s="1205" t="s">
        <v>2334</v>
      </c>
      <c r="C1156" s="1205" t="s">
        <v>1444</v>
      </c>
      <c r="D1156" s="1206" t="s">
        <v>613</v>
      </c>
      <c r="E1156" s="1207">
        <v>1125</v>
      </c>
      <c r="F1156" s="1208" t="s">
        <v>3500</v>
      </c>
      <c r="G1156" s="1206" t="s">
        <v>3501</v>
      </c>
      <c r="H1156" s="1206" t="s">
        <v>613</v>
      </c>
      <c r="I1156" s="1209" t="s">
        <v>2940</v>
      </c>
      <c r="J1156" s="1206" t="s">
        <v>613</v>
      </c>
      <c r="K1156" s="1205">
        <v>10</v>
      </c>
      <c r="L1156" s="1205">
        <v>6</v>
      </c>
      <c r="M1156" s="1207">
        <v>6750</v>
      </c>
      <c r="N1156" s="1205">
        <v>10</v>
      </c>
      <c r="O1156" s="1205">
        <v>6</v>
      </c>
      <c r="P1156" s="1207">
        <v>6750</v>
      </c>
    </row>
    <row r="1157" spans="1:16" x14ac:dyDescent="0.2">
      <c r="A1157" s="1204" t="s">
        <v>2937</v>
      </c>
      <c r="B1157" s="1205" t="s">
        <v>2334</v>
      </c>
      <c r="C1157" s="1205" t="s">
        <v>1444</v>
      </c>
      <c r="D1157" s="1206" t="s">
        <v>1716</v>
      </c>
      <c r="E1157" s="1207">
        <v>2500</v>
      </c>
      <c r="F1157" s="1208" t="s">
        <v>3502</v>
      </c>
      <c r="G1157" s="1206" t="s">
        <v>3503</v>
      </c>
      <c r="H1157" s="1206" t="s">
        <v>1716</v>
      </c>
      <c r="I1157" s="1209" t="s">
        <v>2940</v>
      </c>
      <c r="J1157" s="1206" t="s">
        <v>1716</v>
      </c>
      <c r="K1157" s="1205">
        <v>0</v>
      </c>
      <c r="L1157" s="1205">
        <v>0</v>
      </c>
      <c r="M1157" s="1207">
        <v>0</v>
      </c>
      <c r="N1157" s="1205">
        <v>1</v>
      </c>
      <c r="O1157" s="1205">
        <v>1</v>
      </c>
      <c r="P1157" s="1207">
        <v>2500</v>
      </c>
    </row>
    <row r="1158" spans="1:16" x14ac:dyDescent="0.2">
      <c r="A1158" s="1204" t="s">
        <v>2937</v>
      </c>
      <c r="B1158" s="1205" t="s">
        <v>2334</v>
      </c>
      <c r="C1158" s="1205" t="s">
        <v>1444</v>
      </c>
      <c r="D1158" s="1206" t="s">
        <v>1673</v>
      </c>
      <c r="E1158" s="1207">
        <v>4000</v>
      </c>
      <c r="F1158" s="1208" t="s">
        <v>3504</v>
      </c>
      <c r="G1158" s="1206" t="s">
        <v>3505</v>
      </c>
      <c r="H1158" s="1206" t="s">
        <v>1673</v>
      </c>
      <c r="I1158" s="1209" t="s">
        <v>2940</v>
      </c>
      <c r="J1158" s="1206" t="s">
        <v>1673</v>
      </c>
      <c r="K1158" s="1205">
        <v>0</v>
      </c>
      <c r="L1158" s="1205">
        <v>0</v>
      </c>
      <c r="M1158" s="1207">
        <v>0</v>
      </c>
      <c r="N1158" s="1205">
        <v>1</v>
      </c>
      <c r="O1158" s="1205">
        <v>1</v>
      </c>
      <c r="P1158" s="1207">
        <v>4000</v>
      </c>
    </row>
    <row r="1159" spans="1:16" x14ac:dyDescent="0.2">
      <c r="A1159" s="1204" t="s">
        <v>2937</v>
      </c>
      <c r="B1159" s="1205" t="s">
        <v>2334</v>
      </c>
      <c r="C1159" s="1205" t="s">
        <v>1444</v>
      </c>
      <c r="D1159" s="1206" t="s">
        <v>613</v>
      </c>
      <c r="E1159" s="1207">
        <v>1100</v>
      </c>
      <c r="F1159" s="1208" t="s">
        <v>3506</v>
      </c>
      <c r="G1159" s="1206" t="s">
        <v>3507</v>
      </c>
      <c r="H1159" s="1206" t="s">
        <v>613</v>
      </c>
      <c r="I1159" s="1209" t="s">
        <v>2940</v>
      </c>
      <c r="J1159" s="1206" t="s">
        <v>613</v>
      </c>
      <c r="K1159" s="1205">
        <v>1</v>
      </c>
      <c r="L1159" s="1205">
        <v>6</v>
      </c>
      <c r="M1159" s="1207">
        <v>10800</v>
      </c>
      <c r="N1159" s="1205">
        <v>1</v>
      </c>
      <c r="O1159" s="1205">
        <v>6</v>
      </c>
      <c r="P1159" s="1207">
        <v>10800</v>
      </c>
    </row>
    <row r="1160" spans="1:16" ht="12.75" x14ac:dyDescent="0.2">
      <c r="A1160" s="1204" t="s">
        <v>2937</v>
      </c>
      <c r="B1160" s="1205" t="s">
        <v>2334</v>
      </c>
      <c r="C1160" s="1205" t="s">
        <v>1444</v>
      </c>
      <c r="D1160" s="1206" t="s">
        <v>1651</v>
      </c>
      <c r="E1160" s="1207">
        <v>1200</v>
      </c>
      <c r="F1160" s="1208" t="s">
        <v>3508</v>
      </c>
      <c r="G1160" s="1206" t="s">
        <v>3509</v>
      </c>
      <c r="H1160" s="1206" t="s">
        <v>1651</v>
      </c>
      <c r="I1160" s="1209" t="s">
        <v>2940</v>
      </c>
      <c r="J1160" s="1206" t="s">
        <v>1651</v>
      </c>
      <c r="K1160" s="1205">
        <v>2</v>
      </c>
      <c r="L1160" s="1205">
        <v>6</v>
      </c>
      <c r="M1160" s="1207">
        <v>7200</v>
      </c>
      <c r="N1160" s="1210">
        <v>2</v>
      </c>
      <c r="O1160" s="1210">
        <v>6</v>
      </c>
      <c r="P1160" s="1211">
        <v>7200</v>
      </c>
    </row>
    <row r="1161" spans="1:16" x14ac:dyDescent="0.2">
      <c r="A1161" s="1204" t="s">
        <v>2937</v>
      </c>
      <c r="B1161" s="1205" t="s">
        <v>2334</v>
      </c>
      <c r="C1161" s="1205" t="s">
        <v>1444</v>
      </c>
      <c r="D1161" s="1206" t="s">
        <v>1651</v>
      </c>
      <c r="E1161" s="1207">
        <v>3000</v>
      </c>
      <c r="F1161" s="1208" t="s">
        <v>3510</v>
      </c>
      <c r="G1161" s="1206" t="s">
        <v>3511</v>
      </c>
      <c r="H1161" s="1206" t="s">
        <v>1651</v>
      </c>
      <c r="I1161" s="1209" t="s">
        <v>2940</v>
      </c>
      <c r="J1161" s="1206" t="s">
        <v>1651</v>
      </c>
      <c r="K1161" s="1205">
        <v>0</v>
      </c>
      <c r="L1161" s="1205">
        <v>0</v>
      </c>
      <c r="M1161" s="1207">
        <v>0</v>
      </c>
      <c r="N1161" s="1205">
        <v>1</v>
      </c>
      <c r="O1161" s="1205">
        <v>1</v>
      </c>
      <c r="P1161" s="1207">
        <v>3000</v>
      </c>
    </row>
    <row r="1162" spans="1:16" x14ac:dyDescent="0.2">
      <c r="A1162" s="1204" t="s">
        <v>2937</v>
      </c>
      <c r="B1162" s="1205" t="s">
        <v>2334</v>
      </c>
      <c r="C1162" s="1205" t="s">
        <v>1444</v>
      </c>
      <c r="D1162" s="1206" t="s">
        <v>2337</v>
      </c>
      <c r="E1162" s="1207">
        <v>2200</v>
      </c>
      <c r="F1162" s="1208" t="s">
        <v>3512</v>
      </c>
      <c r="G1162" s="1206" t="s">
        <v>3513</v>
      </c>
      <c r="H1162" s="1206" t="s">
        <v>2337</v>
      </c>
      <c r="I1162" s="1209" t="s">
        <v>2940</v>
      </c>
      <c r="J1162" s="1206" t="s">
        <v>2337</v>
      </c>
      <c r="K1162" s="1205">
        <v>5</v>
      </c>
      <c r="L1162" s="1205">
        <v>6</v>
      </c>
      <c r="M1162" s="1207">
        <v>13200</v>
      </c>
      <c r="N1162" s="1205">
        <v>5</v>
      </c>
      <c r="O1162" s="1205">
        <v>6</v>
      </c>
      <c r="P1162" s="1207">
        <v>13200</v>
      </c>
    </row>
    <row r="1163" spans="1:16" x14ac:dyDescent="0.2">
      <c r="A1163" s="1204" t="s">
        <v>2937</v>
      </c>
      <c r="B1163" s="1205" t="s">
        <v>2334</v>
      </c>
      <c r="C1163" s="1205" t="s">
        <v>1444</v>
      </c>
      <c r="D1163" s="1206" t="s">
        <v>542</v>
      </c>
      <c r="E1163" s="1207">
        <v>1200</v>
      </c>
      <c r="F1163" s="1208" t="s">
        <v>3514</v>
      </c>
      <c r="G1163" s="1206" t="s">
        <v>3515</v>
      </c>
      <c r="H1163" s="1206" t="s">
        <v>542</v>
      </c>
      <c r="I1163" s="1209" t="s">
        <v>2940</v>
      </c>
      <c r="J1163" s="1206" t="s">
        <v>542</v>
      </c>
      <c r="K1163" s="1205">
        <v>10</v>
      </c>
      <c r="L1163" s="1205">
        <v>6</v>
      </c>
      <c r="M1163" s="1207">
        <v>7200</v>
      </c>
      <c r="N1163" s="1205">
        <v>10</v>
      </c>
      <c r="O1163" s="1205">
        <v>6</v>
      </c>
      <c r="P1163" s="1207">
        <v>7200</v>
      </c>
    </row>
    <row r="1164" spans="1:16" x14ac:dyDescent="0.2">
      <c r="A1164" s="1204" t="s">
        <v>2937</v>
      </c>
      <c r="B1164" s="1205" t="s">
        <v>2334</v>
      </c>
      <c r="C1164" s="1205" t="s">
        <v>1444</v>
      </c>
      <c r="D1164" s="1206" t="s">
        <v>1656</v>
      </c>
      <c r="E1164" s="1207">
        <v>1125</v>
      </c>
      <c r="F1164" s="1208" t="s">
        <v>3516</v>
      </c>
      <c r="G1164" s="1206" t="s">
        <v>3517</v>
      </c>
      <c r="H1164" s="1206" t="s">
        <v>1656</v>
      </c>
      <c r="I1164" s="1209" t="s">
        <v>2940</v>
      </c>
      <c r="J1164" s="1206" t="s">
        <v>1656</v>
      </c>
      <c r="K1164" s="1205">
        <v>2</v>
      </c>
      <c r="L1164" s="1205">
        <v>6</v>
      </c>
      <c r="M1164" s="1207">
        <v>6750</v>
      </c>
      <c r="N1164" s="1205">
        <v>2</v>
      </c>
      <c r="O1164" s="1205">
        <v>6</v>
      </c>
      <c r="P1164" s="1207">
        <v>6750</v>
      </c>
    </row>
    <row r="1165" spans="1:16" ht="12.75" x14ac:dyDescent="0.2">
      <c r="A1165" s="1204" t="s">
        <v>2937</v>
      </c>
      <c r="B1165" s="1205" t="s">
        <v>2334</v>
      </c>
      <c r="C1165" s="1205" t="s">
        <v>1444</v>
      </c>
      <c r="D1165" s="1206" t="s">
        <v>2337</v>
      </c>
      <c r="E1165" s="1207">
        <v>2200</v>
      </c>
      <c r="F1165" s="1208" t="s">
        <v>3518</v>
      </c>
      <c r="G1165" s="1206" t="s">
        <v>3519</v>
      </c>
      <c r="H1165" s="1206" t="s">
        <v>2337</v>
      </c>
      <c r="I1165" s="1209" t="s">
        <v>2940</v>
      </c>
      <c r="J1165" s="1206" t="s">
        <v>2337</v>
      </c>
      <c r="K1165" s="1205">
        <v>2</v>
      </c>
      <c r="L1165" s="1205">
        <v>6</v>
      </c>
      <c r="M1165" s="1207">
        <v>13200</v>
      </c>
      <c r="N1165" s="1210">
        <v>2</v>
      </c>
      <c r="O1165" s="1210">
        <v>6</v>
      </c>
      <c r="P1165" s="1211">
        <v>13200</v>
      </c>
    </row>
    <row r="1166" spans="1:16" x14ac:dyDescent="0.2">
      <c r="A1166" s="1204" t="s">
        <v>2937</v>
      </c>
      <c r="B1166" s="1205" t="s">
        <v>2334</v>
      </c>
      <c r="C1166" s="1205" t="s">
        <v>1444</v>
      </c>
      <c r="D1166" s="1206" t="s">
        <v>1651</v>
      </c>
      <c r="E1166" s="1207">
        <v>1125</v>
      </c>
      <c r="F1166" s="1208" t="s">
        <v>3520</v>
      </c>
      <c r="G1166" s="1206" t="s">
        <v>3521</v>
      </c>
      <c r="H1166" s="1206" t="s">
        <v>1651</v>
      </c>
      <c r="I1166" s="1209" t="s">
        <v>2940</v>
      </c>
      <c r="J1166" s="1206" t="s">
        <v>1651</v>
      </c>
      <c r="K1166" s="1205">
        <v>2</v>
      </c>
      <c r="L1166" s="1205">
        <v>6</v>
      </c>
      <c r="M1166" s="1207">
        <v>6750</v>
      </c>
      <c r="N1166" s="1205">
        <v>2</v>
      </c>
      <c r="O1166" s="1205">
        <v>6</v>
      </c>
      <c r="P1166" s="1207">
        <v>6750</v>
      </c>
    </row>
    <row r="1167" spans="1:16" x14ac:dyDescent="0.2">
      <c r="A1167" s="1204" t="s">
        <v>2937</v>
      </c>
      <c r="B1167" s="1205" t="s">
        <v>2334</v>
      </c>
      <c r="C1167" s="1205" t="s">
        <v>1444</v>
      </c>
      <c r="D1167" s="1206" t="s">
        <v>1834</v>
      </c>
      <c r="E1167" s="1207">
        <v>8000</v>
      </c>
      <c r="F1167" s="1208" t="s">
        <v>3522</v>
      </c>
      <c r="G1167" s="1206" t="s">
        <v>3523</v>
      </c>
      <c r="H1167" s="1206" t="s">
        <v>1834</v>
      </c>
      <c r="I1167" s="1209" t="s">
        <v>2940</v>
      </c>
      <c r="J1167" s="1206" t="s">
        <v>1834</v>
      </c>
      <c r="K1167" s="1205">
        <v>0</v>
      </c>
      <c r="L1167" s="1205">
        <v>0</v>
      </c>
      <c r="M1167" s="1207">
        <v>0</v>
      </c>
      <c r="N1167" s="1205">
        <v>1</v>
      </c>
      <c r="O1167" s="1205">
        <v>1</v>
      </c>
      <c r="P1167" s="1207">
        <v>8000</v>
      </c>
    </row>
    <row r="1168" spans="1:16" x14ac:dyDescent="0.2">
      <c r="A1168" s="1204" t="s">
        <v>2937</v>
      </c>
      <c r="B1168" s="1205" t="s">
        <v>2334</v>
      </c>
      <c r="C1168" s="1205" t="s">
        <v>1444</v>
      </c>
      <c r="D1168" s="1206" t="s">
        <v>904</v>
      </c>
      <c r="E1168" s="1207">
        <v>1000</v>
      </c>
      <c r="F1168" s="1208" t="s">
        <v>3524</v>
      </c>
      <c r="G1168" s="1206" t="s">
        <v>3525</v>
      </c>
      <c r="H1168" s="1206" t="s">
        <v>904</v>
      </c>
      <c r="I1168" s="1209" t="s">
        <v>2940</v>
      </c>
      <c r="J1168" s="1206" t="s">
        <v>904</v>
      </c>
      <c r="K1168" s="1205">
        <v>10</v>
      </c>
      <c r="L1168" s="1205">
        <v>6</v>
      </c>
      <c r="M1168" s="1207">
        <v>6000</v>
      </c>
      <c r="N1168" s="1205">
        <v>10</v>
      </c>
      <c r="O1168" s="1205">
        <v>6</v>
      </c>
      <c r="P1168" s="1207">
        <v>6000</v>
      </c>
    </row>
    <row r="1169" spans="1:16" x14ac:dyDescent="0.2">
      <c r="A1169" s="1204" t="s">
        <v>2937</v>
      </c>
      <c r="B1169" s="1205" t="s">
        <v>2334</v>
      </c>
      <c r="C1169" s="1205" t="s">
        <v>1444</v>
      </c>
      <c r="D1169" s="1206" t="s">
        <v>1651</v>
      </c>
      <c r="E1169" s="1207">
        <v>3000</v>
      </c>
      <c r="F1169" s="1208" t="s">
        <v>3526</v>
      </c>
      <c r="G1169" s="1206" t="s">
        <v>3527</v>
      </c>
      <c r="H1169" s="1206" t="s">
        <v>1651</v>
      </c>
      <c r="I1169" s="1209" t="s">
        <v>2940</v>
      </c>
      <c r="J1169" s="1206" t="s">
        <v>1651</v>
      </c>
      <c r="K1169" s="1205">
        <v>0</v>
      </c>
      <c r="L1169" s="1205">
        <v>0</v>
      </c>
      <c r="M1169" s="1207">
        <v>0</v>
      </c>
      <c r="N1169" s="1205">
        <v>1</v>
      </c>
      <c r="O1169" s="1205">
        <v>3</v>
      </c>
      <c r="P1169" s="1207">
        <v>9000</v>
      </c>
    </row>
    <row r="1170" spans="1:16" x14ac:dyDescent="0.2">
      <c r="A1170" s="1204" t="s">
        <v>2937</v>
      </c>
      <c r="B1170" s="1205" t="s">
        <v>2334</v>
      </c>
      <c r="C1170" s="1205" t="s">
        <v>1444</v>
      </c>
      <c r="D1170" s="1206" t="s">
        <v>1834</v>
      </c>
      <c r="E1170" s="1207">
        <v>6000</v>
      </c>
      <c r="F1170" s="1208" t="s">
        <v>3528</v>
      </c>
      <c r="G1170" s="1206" t="s">
        <v>3529</v>
      </c>
      <c r="H1170" s="1206" t="s">
        <v>1834</v>
      </c>
      <c r="I1170" s="1209" t="s">
        <v>2940</v>
      </c>
      <c r="J1170" s="1206" t="s">
        <v>1834</v>
      </c>
      <c r="K1170" s="1205">
        <v>3</v>
      </c>
      <c r="L1170" s="1205">
        <v>6</v>
      </c>
      <c r="M1170" s="1207">
        <v>36000</v>
      </c>
      <c r="N1170" s="1205">
        <v>3</v>
      </c>
      <c r="O1170" s="1205">
        <v>6</v>
      </c>
      <c r="P1170" s="1207">
        <v>36000</v>
      </c>
    </row>
    <row r="1171" spans="1:16" ht="12.75" x14ac:dyDescent="0.2">
      <c r="A1171" s="1204" t="s">
        <v>2937</v>
      </c>
      <c r="B1171" s="1205" t="s">
        <v>2334</v>
      </c>
      <c r="C1171" s="1205" t="s">
        <v>1444</v>
      </c>
      <c r="D1171" s="1206" t="s">
        <v>1834</v>
      </c>
      <c r="E1171" s="1207">
        <v>6000</v>
      </c>
      <c r="F1171" s="1208" t="s">
        <v>3530</v>
      </c>
      <c r="G1171" s="1206" t="s">
        <v>3531</v>
      </c>
      <c r="H1171" s="1206" t="s">
        <v>1834</v>
      </c>
      <c r="I1171" s="1209" t="s">
        <v>2940</v>
      </c>
      <c r="J1171" s="1206" t="s">
        <v>1834</v>
      </c>
      <c r="K1171" s="1205">
        <v>2</v>
      </c>
      <c r="L1171" s="1205">
        <v>6</v>
      </c>
      <c r="M1171" s="1207">
        <v>36000</v>
      </c>
      <c r="N1171" s="1210">
        <v>2</v>
      </c>
      <c r="O1171" s="1210">
        <v>6</v>
      </c>
      <c r="P1171" s="1211">
        <v>36000</v>
      </c>
    </row>
    <row r="1172" spans="1:16" x14ac:dyDescent="0.2">
      <c r="A1172" s="1204" t="s">
        <v>2937</v>
      </c>
      <c r="B1172" s="1205" t="s">
        <v>2334</v>
      </c>
      <c r="C1172" s="1205" t="s">
        <v>1444</v>
      </c>
      <c r="D1172" s="1206" t="s">
        <v>2792</v>
      </c>
      <c r="E1172" s="1207">
        <v>2000</v>
      </c>
      <c r="F1172" s="1208" t="s">
        <v>3532</v>
      </c>
      <c r="G1172" s="1206" t="s">
        <v>3533</v>
      </c>
      <c r="H1172" s="1206" t="s">
        <v>2792</v>
      </c>
      <c r="I1172" s="1209" t="s">
        <v>2940</v>
      </c>
      <c r="J1172" s="1206" t="s">
        <v>2792</v>
      </c>
      <c r="K1172" s="1205">
        <v>0</v>
      </c>
      <c r="L1172" s="1205">
        <v>0</v>
      </c>
      <c r="M1172" s="1207">
        <v>0</v>
      </c>
      <c r="N1172" s="1205">
        <v>1</v>
      </c>
      <c r="O1172" s="1205">
        <v>3</v>
      </c>
      <c r="P1172" s="1207">
        <v>6000</v>
      </c>
    </row>
    <row r="1173" spans="1:16" x14ac:dyDescent="0.2">
      <c r="A1173" s="1204" t="s">
        <v>2937</v>
      </c>
      <c r="B1173" s="1205" t="s">
        <v>2334</v>
      </c>
      <c r="C1173" s="1205" t="s">
        <v>1444</v>
      </c>
      <c r="D1173" s="1206" t="s">
        <v>1666</v>
      </c>
      <c r="E1173" s="1207">
        <v>4000</v>
      </c>
      <c r="F1173" s="1208" t="s">
        <v>3534</v>
      </c>
      <c r="G1173" s="1206" t="s">
        <v>3535</v>
      </c>
      <c r="H1173" s="1206" t="s">
        <v>1666</v>
      </c>
      <c r="I1173" s="1209" t="s">
        <v>2940</v>
      </c>
      <c r="J1173" s="1206" t="s">
        <v>1666</v>
      </c>
      <c r="K1173" s="1205">
        <v>0</v>
      </c>
      <c r="L1173" s="1205">
        <v>0</v>
      </c>
      <c r="M1173" s="1207">
        <v>0</v>
      </c>
      <c r="N1173" s="1205">
        <v>1</v>
      </c>
      <c r="O1173" s="1205">
        <v>1</v>
      </c>
      <c r="P1173" s="1207">
        <v>4000</v>
      </c>
    </row>
    <row r="1174" spans="1:16" x14ac:dyDescent="0.2">
      <c r="A1174" s="1204" t="s">
        <v>2937</v>
      </c>
      <c r="B1174" s="1205" t="s">
        <v>2334</v>
      </c>
      <c r="C1174" s="1205" t="s">
        <v>1444</v>
      </c>
      <c r="D1174" s="1206" t="s">
        <v>2337</v>
      </c>
      <c r="E1174" s="1207">
        <v>2200</v>
      </c>
      <c r="F1174" s="1208" t="s">
        <v>3536</v>
      </c>
      <c r="G1174" s="1206" t="s">
        <v>3537</v>
      </c>
      <c r="H1174" s="1206" t="s">
        <v>2337</v>
      </c>
      <c r="I1174" s="1209" t="s">
        <v>2940</v>
      </c>
      <c r="J1174" s="1206" t="s">
        <v>2337</v>
      </c>
      <c r="K1174" s="1205">
        <v>1</v>
      </c>
      <c r="L1174" s="1205">
        <v>6</v>
      </c>
      <c r="M1174" s="1207">
        <v>13200</v>
      </c>
      <c r="N1174" s="1205">
        <v>1</v>
      </c>
      <c r="O1174" s="1205"/>
      <c r="P1174" s="1207">
        <v>0</v>
      </c>
    </row>
    <row r="1175" spans="1:16" x14ac:dyDescent="0.2">
      <c r="A1175" s="1204" t="s">
        <v>2937</v>
      </c>
      <c r="B1175" s="1205" t="s">
        <v>2334</v>
      </c>
      <c r="C1175" s="1205" t="s">
        <v>1444</v>
      </c>
      <c r="D1175" s="1206" t="s">
        <v>1834</v>
      </c>
      <c r="E1175" s="1207">
        <v>6000</v>
      </c>
      <c r="F1175" s="1208" t="s">
        <v>3538</v>
      </c>
      <c r="G1175" s="1206" t="s">
        <v>3539</v>
      </c>
      <c r="H1175" s="1206" t="s">
        <v>1834</v>
      </c>
      <c r="I1175" s="1209" t="s">
        <v>2940</v>
      </c>
      <c r="J1175" s="1206" t="s">
        <v>1834</v>
      </c>
      <c r="K1175" s="1205">
        <v>3</v>
      </c>
      <c r="L1175" s="1205">
        <v>6</v>
      </c>
      <c r="M1175" s="1207">
        <v>36000</v>
      </c>
      <c r="N1175" s="1205">
        <v>3</v>
      </c>
      <c r="O1175" s="1205">
        <v>6</v>
      </c>
      <c r="P1175" s="1207">
        <v>36000</v>
      </c>
    </row>
    <row r="1176" spans="1:16" x14ac:dyDescent="0.2">
      <c r="A1176" s="1204" t="s">
        <v>2937</v>
      </c>
      <c r="B1176" s="1205" t="s">
        <v>2334</v>
      </c>
      <c r="C1176" s="1205" t="s">
        <v>1444</v>
      </c>
      <c r="D1176" s="1206" t="s">
        <v>2746</v>
      </c>
      <c r="E1176" s="1207">
        <v>3000</v>
      </c>
      <c r="F1176" s="1208" t="s">
        <v>3540</v>
      </c>
      <c r="G1176" s="1206" t="s">
        <v>3541</v>
      </c>
      <c r="H1176" s="1206" t="s">
        <v>2746</v>
      </c>
      <c r="I1176" s="1209" t="s">
        <v>2940</v>
      </c>
      <c r="J1176" s="1206" t="s">
        <v>2746</v>
      </c>
      <c r="K1176" s="1205">
        <v>2</v>
      </c>
      <c r="L1176" s="1205">
        <v>6</v>
      </c>
      <c r="M1176" s="1207">
        <v>22800</v>
      </c>
      <c r="N1176" s="1205">
        <v>2</v>
      </c>
      <c r="O1176" s="1205">
        <v>6</v>
      </c>
      <c r="P1176" s="1207">
        <v>22800</v>
      </c>
    </row>
    <row r="1177" spans="1:16" x14ac:dyDescent="0.2">
      <c r="A1177" s="1204" t="s">
        <v>2937</v>
      </c>
      <c r="B1177" s="1205" t="s">
        <v>2334</v>
      </c>
      <c r="C1177" s="1205" t="s">
        <v>1444</v>
      </c>
      <c r="D1177" s="1206" t="s">
        <v>1656</v>
      </c>
      <c r="E1177" s="1207">
        <v>2500</v>
      </c>
      <c r="F1177" s="1208" t="s">
        <v>3542</v>
      </c>
      <c r="G1177" s="1206" t="s">
        <v>3543</v>
      </c>
      <c r="H1177" s="1206" t="s">
        <v>1656</v>
      </c>
      <c r="I1177" s="1209" t="s">
        <v>2940</v>
      </c>
      <c r="J1177" s="1206" t="s">
        <v>1656</v>
      </c>
      <c r="K1177" s="1205">
        <v>0</v>
      </c>
      <c r="L1177" s="1205">
        <v>0</v>
      </c>
      <c r="M1177" s="1207">
        <v>0</v>
      </c>
      <c r="N1177" s="1205">
        <v>1</v>
      </c>
      <c r="O1177" s="1205">
        <v>1</v>
      </c>
      <c r="P1177" s="1207">
        <v>2500</v>
      </c>
    </row>
    <row r="1178" spans="1:16" x14ac:dyDescent="0.2">
      <c r="A1178" s="1204" t="s">
        <v>2937</v>
      </c>
      <c r="B1178" s="1205" t="s">
        <v>2334</v>
      </c>
      <c r="C1178" s="1205" t="s">
        <v>1444</v>
      </c>
      <c r="D1178" s="1206" t="s">
        <v>1834</v>
      </c>
      <c r="E1178" s="1207">
        <v>6000</v>
      </c>
      <c r="F1178" s="1208" t="s">
        <v>3544</v>
      </c>
      <c r="G1178" s="1206" t="s">
        <v>3545</v>
      </c>
      <c r="H1178" s="1206" t="s">
        <v>1834</v>
      </c>
      <c r="I1178" s="1209" t="s">
        <v>2940</v>
      </c>
      <c r="J1178" s="1206" t="s">
        <v>1834</v>
      </c>
      <c r="K1178" s="1205">
        <v>1</v>
      </c>
      <c r="L1178" s="1205">
        <v>6</v>
      </c>
      <c r="M1178" s="1207">
        <v>36000</v>
      </c>
      <c r="N1178" s="1205">
        <v>1</v>
      </c>
      <c r="O1178" s="1205"/>
      <c r="P1178" s="1207">
        <v>0</v>
      </c>
    </row>
    <row r="1179" spans="1:16" ht="12.75" x14ac:dyDescent="0.2">
      <c r="A1179" s="1204" t="s">
        <v>2937</v>
      </c>
      <c r="B1179" s="1205" t="s">
        <v>2334</v>
      </c>
      <c r="C1179" s="1205" t="s">
        <v>1444</v>
      </c>
      <c r="D1179" s="1206" t="s">
        <v>1834</v>
      </c>
      <c r="E1179" s="1207">
        <v>6000</v>
      </c>
      <c r="F1179" s="1208" t="s">
        <v>3546</v>
      </c>
      <c r="G1179" s="1206" t="s">
        <v>3547</v>
      </c>
      <c r="H1179" s="1206" t="s">
        <v>1834</v>
      </c>
      <c r="I1179" s="1209" t="s">
        <v>2940</v>
      </c>
      <c r="J1179" s="1206" t="s">
        <v>1834</v>
      </c>
      <c r="K1179" s="1205">
        <v>2</v>
      </c>
      <c r="L1179" s="1205">
        <v>6</v>
      </c>
      <c r="M1179" s="1207">
        <v>36000</v>
      </c>
      <c r="N1179" s="1210">
        <v>2</v>
      </c>
      <c r="O1179" s="1210">
        <v>6</v>
      </c>
      <c r="P1179" s="1211">
        <v>36000</v>
      </c>
    </row>
    <row r="1180" spans="1:16" x14ac:dyDescent="0.2">
      <c r="A1180" s="1204" t="s">
        <v>2937</v>
      </c>
      <c r="B1180" s="1205" t="s">
        <v>2334</v>
      </c>
      <c r="C1180" s="1205" t="s">
        <v>1444</v>
      </c>
      <c r="D1180" s="1206" t="s">
        <v>1834</v>
      </c>
      <c r="E1180" s="1207">
        <v>6000</v>
      </c>
      <c r="F1180" s="1208" t="s">
        <v>3548</v>
      </c>
      <c r="G1180" s="1206" t="s">
        <v>3549</v>
      </c>
      <c r="H1180" s="1206" t="s">
        <v>1834</v>
      </c>
      <c r="I1180" s="1209" t="s">
        <v>2940</v>
      </c>
      <c r="J1180" s="1206" t="s">
        <v>1834</v>
      </c>
      <c r="K1180" s="1205">
        <v>1</v>
      </c>
      <c r="L1180" s="1205">
        <v>6</v>
      </c>
      <c r="M1180" s="1207">
        <v>36000</v>
      </c>
      <c r="N1180" s="1205">
        <v>1</v>
      </c>
      <c r="O1180" s="1205"/>
      <c r="P1180" s="1207">
        <v>0</v>
      </c>
    </row>
    <row r="1181" spans="1:16" x14ac:dyDescent="0.2">
      <c r="A1181" s="1204" t="s">
        <v>2937</v>
      </c>
      <c r="B1181" s="1205" t="s">
        <v>2334</v>
      </c>
      <c r="C1181" s="1205" t="s">
        <v>1444</v>
      </c>
      <c r="D1181" s="1206" t="s">
        <v>2337</v>
      </c>
      <c r="E1181" s="1207">
        <v>2200</v>
      </c>
      <c r="F1181" s="1208" t="s">
        <v>3550</v>
      </c>
      <c r="G1181" s="1206" t="s">
        <v>3551</v>
      </c>
      <c r="H1181" s="1206" t="s">
        <v>2337</v>
      </c>
      <c r="I1181" s="1209" t="s">
        <v>2940</v>
      </c>
      <c r="J1181" s="1206" t="s">
        <v>2337</v>
      </c>
      <c r="K1181" s="1205">
        <v>2</v>
      </c>
      <c r="L1181" s="1205">
        <v>6</v>
      </c>
      <c r="M1181" s="1207">
        <v>13200</v>
      </c>
      <c r="N1181" s="1205">
        <v>2</v>
      </c>
      <c r="O1181" s="1205">
        <v>6</v>
      </c>
      <c r="P1181" s="1207">
        <v>13200</v>
      </c>
    </row>
    <row r="1182" spans="1:16" x14ac:dyDescent="0.2">
      <c r="A1182" s="1204" t="s">
        <v>2937</v>
      </c>
      <c r="B1182" s="1205" t="s">
        <v>2334</v>
      </c>
      <c r="C1182" s="1205" t="s">
        <v>1444</v>
      </c>
      <c r="D1182" s="1206" t="s">
        <v>1651</v>
      </c>
      <c r="E1182" s="1207">
        <v>1125</v>
      </c>
      <c r="F1182" s="1208" t="s">
        <v>3552</v>
      </c>
      <c r="G1182" s="1206" t="s">
        <v>3553</v>
      </c>
      <c r="H1182" s="1206" t="s">
        <v>1651</v>
      </c>
      <c r="I1182" s="1209" t="s">
        <v>2940</v>
      </c>
      <c r="J1182" s="1206" t="s">
        <v>1651</v>
      </c>
      <c r="K1182" s="1205">
        <v>2</v>
      </c>
      <c r="L1182" s="1205">
        <v>6</v>
      </c>
      <c r="M1182" s="1207">
        <v>6750</v>
      </c>
      <c r="N1182" s="1205">
        <v>2</v>
      </c>
      <c r="O1182" s="1205">
        <v>6</v>
      </c>
      <c r="P1182" s="1207">
        <v>6750</v>
      </c>
    </row>
    <row r="1183" spans="1:16" ht="12.75" x14ac:dyDescent="0.2">
      <c r="A1183" s="1204" t="s">
        <v>2937</v>
      </c>
      <c r="B1183" s="1205" t="s">
        <v>2334</v>
      </c>
      <c r="C1183" s="1205" t="s">
        <v>1444</v>
      </c>
      <c r="D1183" s="1206" t="s">
        <v>2337</v>
      </c>
      <c r="E1183" s="1207">
        <v>2200</v>
      </c>
      <c r="F1183" s="1208" t="s">
        <v>3554</v>
      </c>
      <c r="G1183" s="1206" t="s">
        <v>3555</v>
      </c>
      <c r="H1183" s="1206" t="s">
        <v>2337</v>
      </c>
      <c r="I1183" s="1209" t="s">
        <v>2940</v>
      </c>
      <c r="J1183" s="1206" t="s">
        <v>2337</v>
      </c>
      <c r="K1183" s="1205">
        <v>2</v>
      </c>
      <c r="L1183" s="1205">
        <v>6</v>
      </c>
      <c r="M1183" s="1207">
        <v>13200</v>
      </c>
      <c r="N1183" s="1210">
        <v>2</v>
      </c>
      <c r="O1183" s="1210">
        <v>6</v>
      </c>
      <c r="P1183" s="1211">
        <v>13200</v>
      </c>
    </row>
    <row r="1184" spans="1:16" x14ac:dyDescent="0.2">
      <c r="A1184" s="1204" t="s">
        <v>2937</v>
      </c>
      <c r="B1184" s="1205" t="s">
        <v>2334</v>
      </c>
      <c r="C1184" s="1205" t="s">
        <v>1444</v>
      </c>
      <c r="D1184" s="1206" t="s">
        <v>1834</v>
      </c>
      <c r="E1184" s="1207">
        <v>8000</v>
      </c>
      <c r="F1184" s="1208" t="s">
        <v>3556</v>
      </c>
      <c r="G1184" s="1206" t="s">
        <v>3557</v>
      </c>
      <c r="H1184" s="1206" t="s">
        <v>1834</v>
      </c>
      <c r="I1184" s="1209" t="s">
        <v>2940</v>
      </c>
      <c r="J1184" s="1206" t="s">
        <v>1834</v>
      </c>
      <c r="K1184" s="1205">
        <v>0</v>
      </c>
      <c r="L1184" s="1205">
        <v>0</v>
      </c>
      <c r="M1184" s="1207">
        <v>0</v>
      </c>
      <c r="N1184" s="1205">
        <v>1</v>
      </c>
      <c r="O1184" s="1205">
        <v>1</v>
      </c>
      <c r="P1184" s="1207">
        <v>8000</v>
      </c>
    </row>
    <row r="1185" spans="1:16" x14ac:dyDescent="0.2">
      <c r="A1185" s="1204" t="s">
        <v>2937</v>
      </c>
      <c r="B1185" s="1205" t="s">
        <v>2334</v>
      </c>
      <c r="C1185" s="1205" t="s">
        <v>1444</v>
      </c>
      <c r="D1185" s="1206" t="s">
        <v>1834</v>
      </c>
      <c r="E1185" s="1207">
        <v>8000</v>
      </c>
      <c r="F1185" s="1208" t="s">
        <v>3558</v>
      </c>
      <c r="G1185" s="1206" t="s">
        <v>3559</v>
      </c>
      <c r="H1185" s="1206" t="s">
        <v>1834</v>
      </c>
      <c r="I1185" s="1209" t="s">
        <v>2940</v>
      </c>
      <c r="J1185" s="1206" t="s">
        <v>1834</v>
      </c>
      <c r="K1185" s="1205">
        <v>0</v>
      </c>
      <c r="L1185" s="1205">
        <v>0</v>
      </c>
      <c r="M1185" s="1207">
        <v>0</v>
      </c>
      <c r="N1185" s="1205">
        <v>1</v>
      </c>
      <c r="O1185" s="1205">
        <v>3</v>
      </c>
      <c r="P1185" s="1207">
        <v>24000</v>
      </c>
    </row>
    <row r="1186" spans="1:16" x14ac:dyDescent="0.2">
      <c r="A1186" s="1204" t="s">
        <v>2937</v>
      </c>
      <c r="B1186" s="1205" t="s">
        <v>2334</v>
      </c>
      <c r="C1186" s="1205" t="s">
        <v>1444</v>
      </c>
      <c r="D1186" s="1206" t="s">
        <v>2337</v>
      </c>
      <c r="E1186" s="1207">
        <v>4000</v>
      </c>
      <c r="F1186" s="1208" t="s">
        <v>3560</v>
      </c>
      <c r="G1186" s="1206" t="s">
        <v>3561</v>
      </c>
      <c r="H1186" s="1206" t="s">
        <v>2337</v>
      </c>
      <c r="I1186" s="1209" t="s">
        <v>2940</v>
      </c>
      <c r="J1186" s="1206" t="s">
        <v>2337</v>
      </c>
      <c r="K1186" s="1205">
        <v>0</v>
      </c>
      <c r="L1186" s="1205">
        <v>0</v>
      </c>
      <c r="M1186" s="1207">
        <v>0</v>
      </c>
      <c r="N1186" s="1205">
        <v>1</v>
      </c>
      <c r="O1186" s="1205">
        <v>3</v>
      </c>
      <c r="P1186" s="1207">
        <v>12000</v>
      </c>
    </row>
    <row r="1187" spans="1:16" x14ac:dyDescent="0.2">
      <c r="A1187" s="1204" t="s">
        <v>2937</v>
      </c>
      <c r="B1187" s="1205" t="s">
        <v>2334</v>
      </c>
      <c r="C1187" s="1205" t="s">
        <v>1444</v>
      </c>
      <c r="D1187" s="1206" t="s">
        <v>1651</v>
      </c>
      <c r="E1187" s="1207">
        <v>3000</v>
      </c>
      <c r="F1187" s="1208" t="s">
        <v>3562</v>
      </c>
      <c r="G1187" s="1206" t="s">
        <v>3563</v>
      </c>
      <c r="H1187" s="1206" t="s">
        <v>1651</v>
      </c>
      <c r="I1187" s="1209" t="s">
        <v>2940</v>
      </c>
      <c r="J1187" s="1206" t="s">
        <v>1651</v>
      </c>
      <c r="K1187" s="1205">
        <v>0</v>
      </c>
      <c r="L1187" s="1205">
        <v>0</v>
      </c>
      <c r="M1187" s="1207">
        <v>0</v>
      </c>
      <c r="N1187" s="1205">
        <v>1</v>
      </c>
      <c r="O1187" s="1205">
        <v>1</v>
      </c>
      <c r="P1187" s="1207">
        <v>3000</v>
      </c>
    </row>
    <row r="1188" spans="1:16" x14ac:dyDescent="0.2">
      <c r="A1188" s="1204" t="s">
        <v>2937</v>
      </c>
      <c r="B1188" s="1205" t="s">
        <v>2334</v>
      </c>
      <c r="C1188" s="1205" t="s">
        <v>1444</v>
      </c>
      <c r="D1188" s="1206" t="s">
        <v>1716</v>
      </c>
      <c r="E1188" s="1207">
        <v>2500</v>
      </c>
      <c r="F1188" s="1208" t="s">
        <v>3564</v>
      </c>
      <c r="G1188" s="1206" t="s">
        <v>3565</v>
      </c>
      <c r="H1188" s="1206" t="s">
        <v>1716</v>
      </c>
      <c r="I1188" s="1209" t="s">
        <v>2940</v>
      </c>
      <c r="J1188" s="1206" t="s">
        <v>1716</v>
      </c>
      <c r="K1188" s="1205">
        <v>0</v>
      </c>
      <c r="L1188" s="1205">
        <v>0</v>
      </c>
      <c r="M1188" s="1207">
        <v>0</v>
      </c>
      <c r="N1188" s="1205">
        <v>1</v>
      </c>
      <c r="O1188" s="1205">
        <v>1</v>
      </c>
      <c r="P1188" s="1207">
        <v>2500</v>
      </c>
    </row>
    <row r="1189" spans="1:16" x14ac:dyDescent="0.2">
      <c r="A1189" s="1204" t="s">
        <v>2937</v>
      </c>
      <c r="B1189" s="1205" t="s">
        <v>2334</v>
      </c>
      <c r="C1189" s="1205" t="s">
        <v>1444</v>
      </c>
      <c r="D1189" s="1206" t="s">
        <v>1834</v>
      </c>
      <c r="E1189" s="1207">
        <v>6000</v>
      </c>
      <c r="F1189" s="1208" t="s">
        <v>3566</v>
      </c>
      <c r="G1189" s="1206" t="s">
        <v>3567</v>
      </c>
      <c r="H1189" s="1206" t="s">
        <v>1834</v>
      </c>
      <c r="I1189" s="1209" t="s">
        <v>2940</v>
      </c>
      <c r="J1189" s="1206" t="s">
        <v>1834</v>
      </c>
      <c r="K1189" s="1205">
        <v>2</v>
      </c>
      <c r="L1189" s="1205">
        <v>6</v>
      </c>
      <c r="M1189" s="1207">
        <v>36000</v>
      </c>
      <c r="N1189" s="1205">
        <v>2</v>
      </c>
      <c r="O1189" s="1205">
        <v>6</v>
      </c>
      <c r="P1189" s="1207">
        <v>36000</v>
      </c>
    </row>
    <row r="1190" spans="1:16" x14ac:dyDescent="0.2">
      <c r="A1190" s="1204" t="s">
        <v>2937</v>
      </c>
      <c r="B1190" s="1205" t="s">
        <v>2334</v>
      </c>
      <c r="C1190" s="1205" t="s">
        <v>1444</v>
      </c>
      <c r="D1190" s="1206" t="s">
        <v>1651</v>
      </c>
      <c r="E1190" s="1207">
        <v>1200</v>
      </c>
      <c r="F1190" s="1208" t="s">
        <v>3568</v>
      </c>
      <c r="G1190" s="1206" t="s">
        <v>3569</v>
      </c>
      <c r="H1190" s="1206" t="s">
        <v>1651</v>
      </c>
      <c r="I1190" s="1209" t="s">
        <v>2940</v>
      </c>
      <c r="J1190" s="1206" t="s">
        <v>1651</v>
      </c>
      <c r="K1190" s="1205">
        <v>1</v>
      </c>
      <c r="L1190" s="1205">
        <v>6</v>
      </c>
      <c r="M1190" s="1207">
        <v>7200</v>
      </c>
      <c r="N1190" s="1205">
        <v>1</v>
      </c>
      <c r="O1190" s="1205">
        <v>6</v>
      </c>
      <c r="P1190" s="1207">
        <v>7200</v>
      </c>
    </row>
    <row r="1191" spans="1:16" x14ac:dyDescent="0.2">
      <c r="A1191" s="1204" t="s">
        <v>2937</v>
      </c>
      <c r="B1191" s="1205" t="s">
        <v>2334</v>
      </c>
      <c r="C1191" s="1205" t="s">
        <v>1444</v>
      </c>
      <c r="D1191" s="1206" t="s">
        <v>1744</v>
      </c>
      <c r="E1191" s="1207">
        <v>2200</v>
      </c>
      <c r="F1191" s="1208" t="s">
        <v>3570</v>
      </c>
      <c r="G1191" s="1206" t="s">
        <v>3571</v>
      </c>
      <c r="H1191" s="1206" t="s">
        <v>1744</v>
      </c>
      <c r="I1191" s="1209" t="s">
        <v>2940</v>
      </c>
      <c r="J1191" s="1206" t="s">
        <v>1744</v>
      </c>
      <c r="K1191" s="1205">
        <v>2</v>
      </c>
      <c r="L1191" s="1205">
        <v>3</v>
      </c>
      <c r="M1191" s="1207">
        <v>6600</v>
      </c>
      <c r="N1191" s="1205">
        <v>2</v>
      </c>
      <c r="O1191" s="1205">
        <v>3</v>
      </c>
      <c r="P1191" s="1207">
        <v>6600</v>
      </c>
    </row>
    <row r="1192" spans="1:16" ht="12.75" x14ac:dyDescent="0.2">
      <c r="A1192" s="1204" t="s">
        <v>2937</v>
      </c>
      <c r="B1192" s="1205" t="s">
        <v>2334</v>
      </c>
      <c r="C1192" s="1205" t="s">
        <v>1444</v>
      </c>
      <c r="D1192" s="1206" t="s">
        <v>613</v>
      </c>
      <c r="E1192" s="1207">
        <v>2000</v>
      </c>
      <c r="F1192" s="1208" t="s">
        <v>3572</v>
      </c>
      <c r="G1192" s="1206" t="s">
        <v>3573</v>
      </c>
      <c r="H1192" s="1206" t="s">
        <v>613</v>
      </c>
      <c r="I1192" s="1209" t="s">
        <v>2940</v>
      </c>
      <c r="J1192" s="1206" t="s">
        <v>613</v>
      </c>
      <c r="K1192" s="1205">
        <v>2</v>
      </c>
      <c r="L1192" s="1205">
        <v>6</v>
      </c>
      <c r="M1192" s="1207">
        <v>12000</v>
      </c>
      <c r="N1192" s="1210">
        <v>2</v>
      </c>
      <c r="O1192" s="1210">
        <v>6</v>
      </c>
      <c r="P1192" s="1211">
        <v>12000</v>
      </c>
    </row>
    <row r="1193" spans="1:16" x14ac:dyDescent="0.2">
      <c r="A1193" s="1204" t="s">
        <v>2937</v>
      </c>
      <c r="B1193" s="1205" t="s">
        <v>2334</v>
      </c>
      <c r="C1193" s="1205" t="s">
        <v>1444</v>
      </c>
      <c r="D1193" s="1206" t="s">
        <v>2337</v>
      </c>
      <c r="E1193" s="1207">
        <v>2200</v>
      </c>
      <c r="F1193" s="1208" t="s">
        <v>3574</v>
      </c>
      <c r="G1193" s="1206" t="s">
        <v>3575</v>
      </c>
      <c r="H1193" s="1206" t="s">
        <v>2337</v>
      </c>
      <c r="I1193" s="1209" t="s">
        <v>2940</v>
      </c>
      <c r="J1193" s="1206" t="s">
        <v>2337</v>
      </c>
      <c r="K1193" s="1205">
        <v>4</v>
      </c>
      <c r="L1193" s="1205">
        <v>6</v>
      </c>
      <c r="M1193" s="1207">
        <v>13200</v>
      </c>
      <c r="N1193" s="1205">
        <v>4</v>
      </c>
      <c r="O1193" s="1205">
        <v>6</v>
      </c>
      <c r="P1193" s="1207">
        <v>13200</v>
      </c>
    </row>
    <row r="1194" spans="1:16" x14ac:dyDescent="0.2">
      <c r="A1194" s="1204" t="s">
        <v>2937</v>
      </c>
      <c r="B1194" s="1205" t="s">
        <v>2334</v>
      </c>
      <c r="C1194" s="1205" t="s">
        <v>1444</v>
      </c>
      <c r="D1194" s="1206" t="s">
        <v>2337</v>
      </c>
      <c r="E1194" s="1207">
        <v>2200</v>
      </c>
      <c r="F1194" s="1208" t="s">
        <v>3576</v>
      </c>
      <c r="G1194" s="1206" t="s">
        <v>3577</v>
      </c>
      <c r="H1194" s="1206" t="s">
        <v>2337</v>
      </c>
      <c r="I1194" s="1209" t="s">
        <v>2940</v>
      </c>
      <c r="J1194" s="1206" t="s">
        <v>2337</v>
      </c>
      <c r="K1194" s="1205">
        <v>4</v>
      </c>
      <c r="L1194" s="1205">
        <v>6</v>
      </c>
      <c r="M1194" s="1207">
        <v>13200</v>
      </c>
      <c r="N1194" s="1205">
        <v>4</v>
      </c>
      <c r="O1194" s="1205">
        <v>6</v>
      </c>
      <c r="P1194" s="1207">
        <v>13200</v>
      </c>
    </row>
    <row r="1195" spans="1:16" x14ac:dyDescent="0.2">
      <c r="A1195" s="1204" t="s">
        <v>2937</v>
      </c>
      <c r="B1195" s="1205" t="s">
        <v>2334</v>
      </c>
      <c r="C1195" s="1205" t="s">
        <v>1444</v>
      </c>
      <c r="D1195" s="1206" t="s">
        <v>1834</v>
      </c>
      <c r="E1195" s="1207">
        <v>6000</v>
      </c>
      <c r="F1195" s="1208" t="s">
        <v>3578</v>
      </c>
      <c r="G1195" s="1206" t="s">
        <v>3579</v>
      </c>
      <c r="H1195" s="1206" t="s">
        <v>1834</v>
      </c>
      <c r="I1195" s="1209" t="s">
        <v>2940</v>
      </c>
      <c r="J1195" s="1206" t="s">
        <v>1834</v>
      </c>
      <c r="K1195" s="1205">
        <v>3</v>
      </c>
      <c r="L1195" s="1205">
        <v>6</v>
      </c>
      <c r="M1195" s="1207">
        <v>36000</v>
      </c>
      <c r="N1195" s="1205">
        <v>3</v>
      </c>
      <c r="O1195" s="1205">
        <v>6</v>
      </c>
      <c r="P1195" s="1207">
        <v>36000</v>
      </c>
    </row>
    <row r="1196" spans="1:16" x14ac:dyDescent="0.2">
      <c r="A1196" s="1204" t="s">
        <v>2937</v>
      </c>
      <c r="B1196" s="1205" t="s">
        <v>2334</v>
      </c>
      <c r="C1196" s="1205" t="s">
        <v>1444</v>
      </c>
      <c r="D1196" s="1206" t="s">
        <v>1651</v>
      </c>
      <c r="E1196" s="1207">
        <v>1200</v>
      </c>
      <c r="F1196" s="1208" t="s">
        <v>3580</v>
      </c>
      <c r="G1196" s="1206" t="s">
        <v>3581</v>
      </c>
      <c r="H1196" s="1206" t="s">
        <v>1651</v>
      </c>
      <c r="I1196" s="1209" t="s">
        <v>2940</v>
      </c>
      <c r="J1196" s="1206" t="s">
        <v>1651</v>
      </c>
      <c r="K1196" s="1205">
        <v>1</v>
      </c>
      <c r="L1196" s="1205">
        <v>6</v>
      </c>
      <c r="M1196" s="1207">
        <v>7200</v>
      </c>
      <c r="N1196" s="1205">
        <v>1</v>
      </c>
      <c r="O1196" s="1205">
        <v>6</v>
      </c>
      <c r="P1196" s="1207">
        <v>7200</v>
      </c>
    </row>
    <row r="1197" spans="1:16" x14ac:dyDescent="0.2">
      <c r="A1197" s="1204" t="s">
        <v>2937</v>
      </c>
      <c r="B1197" s="1205" t="s">
        <v>2334</v>
      </c>
      <c r="C1197" s="1205" t="s">
        <v>1444</v>
      </c>
      <c r="D1197" s="1206" t="s">
        <v>1758</v>
      </c>
      <c r="E1197" s="1207">
        <v>4000</v>
      </c>
      <c r="F1197" s="1208" t="s">
        <v>3582</v>
      </c>
      <c r="G1197" s="1206" t="s">
        <v>3583</v>
      </c>
      <c r="H1197" s="1206" t="s">
        <v>1758</v>
      </c>
      <c r="I1197" s="1209" t="s">
        <v>2940</v>
      </c>
      <c r="J1197" s="1206" t="s">
        <v>1758</v>
      </c>
      <c r="K1197" s="1205">
        <v>0</v>
      </c>
      <c r="L1197" s="1205">
        <v>0</v>
      </c>
      <c r="M1197" s="1207">
        <v>0</v>
      </c>
      <c r="N1197" s="1205">
        <v>1</v>
      </c>
      <c r="O1197" s="1205">
        <v>1</v>
      </c>
      <c r="P1197" s="1207">
        <v>4000</v>
      </c>
    </row>
    <row r="1198" spans="1:16" ht="12.75" x14ac:dyDescent="0.2">
      <c r="A1198" s="1204" t="s">
        <v>2937</v>
      </c>
      <c r="B1198" s="1205" t="s">
        <v>2334</v>
      </c>
      <c r="C1198" s="1205" t="s">
        <v>1444</v>
      </c>
      <c r="D1198" s="1206" t="s">
        <v>1834</v>
      </c>
      <c r="E1198" s="1207">
        <v>6000</v>
      </c>
      <c r="F1198" s="1208" t="s">
        <v>3584</v>
      </c>
      <c r="G1198" s="1206" t="s">
        <v>3585</v>
      </c>
      <c r="H1198" s="1206" t="s">
        <v>1834</v>
      </c>
      <c r="I1198" s="1209" t="s">
        <v>2940</v>
      </c>
      <c r="J1198" s="1206" t="s">
        <v>1834</v>
      </c>
      <c r="K1198" s="1205">
        <v>2</v>
      </c>
      <c r="L1198" s="1205">
        <v>6</v>
      </c>
      <c r="M1198" s="1207">
        <v>36000</v>
      </c>
      <c r="N1198" s="1210">
        <v>2</v>
      </c>
      <c r="O1198" s="1210">
        <v>6</v>
      </c>
      <c r="P1198" s="1211">
        <v>36000</v>
      </c>
    </row>
    <row r="1199" spans="1:16" x14ac:dyDescent="0.2">
      <c r="A1199" s="1204" t="s">
        <v>2937</v>
      </c>
      <c r="B1199" s="1205" t="s">
        <v>2334</v>
      </c>
      <c r="C1199" s="1205" t="s">
        <v>1444</v>
      </c>
      <c r="D1199" s="1206" t="s">
        <v>2337</v>
      </c>
      <c r="E1199" s="1207">
        <v>2200</v>
      </c>
      <c r="F1199" s="1208" t="s">
        <v>3586</v>
      </c>
      <c r="G1199" s="1206" t="s">
        <v>3587</v>
      </c>
      <c r="H1199" s="1206" t="s">
        <v>2337</v>
      </c>
      <c r="I1199" s="1209" t="s">
        <v>2940</v>
      </c>
      <c r="J1199" s="1206" t="s">
        <v>2337</v>
      </c>
      <c r="K1199" s="1205">
        <v>3</v>
      </c>
      <c r="L1199" s="1205">
        <v>6</v>
      </c>
      <c r="M1199" s="1207">
        <v>13200</v>
      </c>
      <c r="N1199" s="1205">
        <v>3</v>
      </c>
      <c r="O1199" s="1205">
        <v>6</v>
      </c>
      <c r="P1199" s="1207">
        <v>13200</v>
      </c>
    </row>
    <row r="1200" spans="1:16" x14ac:dyDescent="0.2">
      <c r="A1200" s="1204" t="s">
        <v>2937</v>
      </c>
      <c r="B1200" s="1205" t="s">
        <v>2334</v>
      </c>
      <c r="C1200" s="1205" t="s">
        <v>1444</v>
      </c>
      <c r="D1200" s="1206" t="s">
        <v>2337</v>
      </c>
      <c r="E1200" s="1207">
        <v>2200</v>
      </c>
      <c r="F1200" s="1208" t="s">
        <v>3588</v>
      </c>
      <c r="G1200" s="1206" t="s">
        <v>3589</v>
      </c>
      <c r="H1200" s="1206" t="s">
        <v>2337</v>
      </c>
      <c r="I1200" s="1209" t="s">
        <v>2940</v>
      </c>
      <c r="J1200" s="1206" t="s">
        <v>2337</v>
      </c>
      <c r="K1200" s="1205">
        <v>2</v>
      </c>
      <c r="L1200" s="1205">
        <v>6</v>
      </c>
      <c r="M1200" s="1207">
        <v>13200</v>
      </c>
      <c r="N1200" s="1205">
        <v>2</v>
      </c>
      <c r="O1200" s="1205">
        <v>6</v>
      </c>
      <c r="P1200" s="1207">
        <v>13200</v>
      </c>
    </row>
    <row r="1201" spans="1:16" x14ac:dyDescent="0.2">
      <c r="A1201" s="1204" t="s">
        <v>2937</v>
      </c>
      <c r="B1201" s="1205" t="s">
        <v>2334</v>
      </c>
      <c r="C1201" s="1205" t="s">
        <v>1444</v>
      </c>
      <c r="D1201" s="1206" t="s">
        <v>2337</v>
      </c>
      <c r="E1201" s="1207">
        <v>4000</v>
      </c>
      <c r="F1201" s="1208" t="s">
        <v>3590</v>
      </c>
      <c r="G1201" s="1206" t="s">
        <v>3591</v>
      </c>
      <c r="H1201" s="1206" t="s">
        <v>2337</v>
      </c>
      <c r="I1201" s="1209" t="s">
        <v>2940</v>
      </c>
      <c r="J1201" s="1206" t="s">
        <v>2337</v>
      </c>
      <c r="K1201" s="1205">
        <v>0</v>
      </c>
      <c r="L1201" s="1205">
        <v>0</v>
      </c>
      <c r="M1201" s="1207">
        <v>0</v>
      </c>
      <c r="N1201" s="1205">
        <v>1</v>
      </c>
      <c r="O1201" s="1205">
        <v>2</v>
      </c>
      <c r="P1201" s="1207">
        <v>8000</v>
      </c>
    </row>
    <row r="1202" spans="1:16" x14ac:dyDescent="0.2">
      <c r="A1202" s="1204" t="s">
        <v>2937</v>
      </c>
      <c r="B1202" s="1205" t="s">
        <v>2334</v>
      </c>
      <c r="C1202" s="1205" t="s">
        <v>1444</v>
      </c>
      <c r="D1202" s="1206" t="s">
        <v>2337</v>
      </c>
      <c r="E1202" s="1207">
        <v>2200</v>
      </c>
      <c r="F1202" s="1208" t="s">
        <v>3592</v>
      </c>
      <c r="G1202" s="1206" t="s">
        <v>3593</v>
      </c>
      <c r="H1202" s="1206" t="s">
        <v>2337</v>
      </c>
      <c r="I1202" s="1209" t="s">
        <v>2940</v>
      </c>
      <c r="J1202" s="1206" t="s">
        <v>2337</v>
      </c>
      <c r="K1202" s="1205">
        <v>5</v>
      </c>
      <c r="L1202" s="1205">
        <v>6</v>
      </c>
      <c r="M1202" s="1207">
        <v>13200</v>
      </c>
      <c r="N1202" s="1205">
        <v>5</v>
      </c>
      <c r="O1202" s="1205">
        <v>6</v>
      </c>
      <c r="P1202" s="1207">
        <v>13200</v>
      </c>
    </row>
    <row r="1203" spans="1:16" x14ac:dyDescent="0.2">
      <c r="A1203" s="1204" t="s">
        <v>2937</v>
      </c>
      <c r="B1203" s="1205" t="s">
        <v>2334</v>
      </c>
      <c r="C1203" s="1205" t="s">
        <v>1444</v>
      </c>
      <c r="D1203" s="1206" t="s">
        <v>1651</v>
      </c>
      <c r="E1203" s="1207">
        <v>3000</v>
      </c>
      <c r="F1203" s="1208" t="s">
        <v>3594</v>
      </c>
      <c r="G1203" s="1206" t="s">
        <v>3595</v>
      </c>
      <c r="H1203" s="1206" t="s">
        <v>1651</v>
      </c>
      <c r="I1203" s="1209" t="s">
        <v>2940</v>
      </c>
      <c r="J1203" s="1206" t="s">
        <v>1651</v>
      </c>
      <c r="K1203" s="1205">
        <v>0</v>
      </c>
      <c r="L1203" s="1205">
        <v>0</v>
      </c>
      <c r="M1203" s="1207">
        <v>0</v>
      </c>
      <c r="N1203" s="1205">
        <v>1</v>
      </c>
      <c r="O1203" s="1205">
        <v>3</v>
      </c>
      <c r="P1203" s="1207">
        <v>9000</v>
      </c>
    </row>
    <row r="1204" spans="1:16" ht="12.75" x14ac:dyDescent="0.2">
      <c r="A1204" s="1204" t="s">
        <v>2937</v>
      </c>
      <c r="B1204" s="1205" t="s">
        <v>2334</v>
      </c>
      <c r="C1204" s="1205" t="s">
        <v>1444</v>
      </c>
      <c r="D1204" s="1206" t="s">
        <v>1651</v>
      </c>
      <c r="E1204" s="1207">
        <v>1200</v>
      </c>
      <c r="F1204" s="1208" t="s">
        <v>3596</v>
      </c>
      <c r="G1204" s="1206" t="s">
        <v>3597</v>
      </c>
      <c r="H1204" s="1206" t="s">
        <v>1651</v>
      </c>
      <c r="I1204" s="1209" t="s">
        <v>2940</v>
      </c>
      <c r="J1204" s="1206" t="s">
        <v>1651</v>
      </c>
      <c r="K1204" s="1205">
        <v>2</v>
      </c>
      <c r="L1204" s="1205">
        <v>6</v>
      </c>
      <c r="M1204" s="1207">
        <v>7200</v>
      </c>
      <c r="N1204" s="1210">
        <v>2</v>
      </c>
      <c r="O1204" s="1210">
        <v>6</v>
      </c>
      <c r="P1204" s="1211">
        <v>7200</v>
      </c>
    </row>
    <row r="1205" spans="1:16" x14ac:dyDescent="0.2">
      <c r="A1205" s="1204" t="s">
        <v>2937</v>
      </c>
      <c r="B1205" s="1205" t="s">
        <v>2334</v>
      </c>
      <c r="C1205" s="1205" t="s">
        <v>1444</v>
      </c>
      <c r="D1205" s="1206" t="s">
        <v>2337</v>
      </c>
      <c r="E1205" s="1207">
        <v>2200</v>
      </c>
      <c r="F1205" s="1208" t="s">
        <v>3598</v>
      </c>
      <c r="G1205" s="1206" t="s">
        <v>3599</v>
      </c>
      <c r="H1205" s="1206" t="s">
        <v>2337</v>
      </c>
      <c r="I1205" s="1209" t="s">
        <v>2940</v>
      </c>
      <c r="J1205" s="1206" t="s">
        <v>2337</v>
      </c>
      <c r="K1205" s="1205">
        <v>2</v>
      </c>
      <c r="L1205" s="1205">
        <v>6</v>
      </c>
      <c r="M1205" s="1207">
        <v>13200</v>
      </c>
      <c r="N1205" s="1205">
        <v>2</v>
      </c>
      <c r="O1205" s="1205">
        <v>6</v>
      </c>
      <c r="P1205" s="1207">
        <v>13200</v>
      </c>
    </row>
    <row r="1206" spans="1:16" x14ac:dyDescent="0.2">
      <c r="A1206" s="1204" t="s">
        <v>2937</v>
      </c>
      <c r="B1206" s="1205" t="s">
        <v>2334</v>
      </c>
      <c r="C1206" s="1205" t="s">
        <v>1444</v>
      </c>
      <c r="D1206" s="1206" t="s">
        <v>2337</v>
      </c>
      <c r="E1206" s="1207">
        <v>4000</v>
      </c>
      <c r="F1206" s="1208" t="s">
        <v>3600</v>
      </c>
      <c r="G1206" s="1206" t="s">
        <v>3601</v>
      </c>
      <c r="H1206" s="1206" t="s">
        <v>2337</v>
      </c>
      <c r="I1206" s="1209" t="s">
        <v>2940</v>
      </c>
      <c r="J1206" s="1206" t="s">
        <v>2337</v>
      </c>
      <c r="K1206" s="1205">
        <v>0</v>
      </c>
      <c r="L1206" s="1205">
        <v>0</v>
      </c>
      <c r="M1206" s="1207">
        <v>0</v>
      </c>
      <c r="N1206" s="1205">
        <v>1</v>
      </c>
      <c r="O1206" s="1205">
        <v>3</v>
      </c>
      <c r="P1206" s="1207">
        <v>12000</v>
      </c>
    </row>
    <row r="1207" spans="1:16" x14ac:dyDescent="0.2">
      <c r="A1207" s="1204" t="s">
        <v>2937</v>
      </c>
      <c r="B1207" s="1205" t="s">
        <v>2334</v>
      </c>
      <c r="C1207" s="1205" t="s">
        <v>1444</v>
      </c>
      <c r="D1207" s="1206" t="s">
        <v>1834</v>
      </c>
      <c r="E1207" s="1207">
        <v>8000</v>
      </c>
      <c r="F1207" s="1208" t="s">
        <v>3602</v>
      </c>
      <c r="G1207" s="1206" t="s">
        <v>3603</v>
      </c>
      <c r="H1207" s="1206" t="s">
        <v>1834</v>
      </c>
      <c r="I1207" s="1209" t="s">
        <v>2940</v>
      </c>
      <c r="J1207" s="1206" t="s">
        <v>1834</v>
      </c>
      <c r="K1207" s="1205">
        <v>0</v>
      </c>
      <c r="L1207" s="1205">
        <v>0</v>
      </c>
      <c r="M1207" s="1207">
        <v>0</v>
      </c>
      <c r="N1207" s="1205">
        <v>1</v>
      </c>
      <c r="O1207" s="1205">
        <v>1</v>
      </c>
      <c r="P1207" s="1207">
        <v>8000</v>
      </c>
    </row>
    <row r="1208" spans="1:16" x14ac:dyDescent="0.2">
      <c r="A1208" s="1204" t="s">
        <v>2937</v>
      </c>
      <c r="B1208" s="1205" t="s">
        <v>2334</v>
      </c>
      <c r="C1208" s="1205" t="s">
        <v>1444</v>
      </c>
      <c r="D1208" s="1206" t="s">
        <v>1744</v>
      </c>
      <c r="E1208" s="1207">
        <v>2200</v>
      </c>
      <c r="F1208" s="1208" t="s">
        <v>3604</v>
      </c>
      <c r="G1208" s="1206" t="s">
        <v>3605</v>
      </c>
      <c r="H1208" s="1206" t="s">
        <v>1744</v>
      </c>
      <c r="I1208" s="1209" t="s">
        <v>2940</v>
      </c>
      <c r="J1208" s="1206" t="s">
        <v>1744</v>
      </c>
      <c r="K1208" s="1205">
        <v>2</v>
      </c>
      <c r="L1208" s="1205">
        <v>6</v>
      </c>
      <c r="M1208" s="1207">
        <v>13200</v>
      </c>
      <c r="N1208" s="1205">
        <v>2</v>
      </c>
      <c r="O1208" s="1205">
        <v>6</v>
      </c>
      <c r="P1208" s="1207">
        <v>13200</v>
      </c>
    </row>
    <row r="1209" spans="1:16" ht="12.75" x14ac:dyDescent="0.2">
      <c r="A1209" s="1204" t="s">
        <v>2937</v>
      </c>
      <c r="B1209" s="1205" t="s">
        <v>2334</v>
      </c>
      <c r="C1209" s="1205" t="s">
        <v>1444</v>
      </c>
      <c r="D1209" s="1206" t="s">
        <v>904</v>
      </c>
      <c r="E1209" s="1207">
        <v>1500</v>
      </c>
      <c r="F1209" s="1208" t="s">
        <v>3606</v>
      </c>
      <c r="G1209" s="1206" t="s">
        <v>3607</v>
      </c>
      <c r="H1209" s="1206" t="s">
        <v>904</v>
      </c>
      <c r="I1209" s="1209" t="s">
        <v>2940</v>
      </c>
      <c r="J1209" s="1206" t="s">
        <v>904</v>
      </c>
      <c r="K1209" s="1205">
        <v>2</v>
      </c>
      <c r="L1209" s="1205">
        <v>6</v>
      </c>
      <c r="M1209" s="1207">
        <v>9000</v>
      </c>
      <c r="N1209" s="1210">
        <v>2</v>
      </c>
      <c r="O1209" s="1210">
        <v>6</v>
      </c>
      <c r="P1209" s="1211">
        <v>9000</v>
      </c>
    </row>
    <row r="1210" spans="1:16" x14ac:dyDescent="0.2">
      <c r="A1210" s="1204" t="s">
        <v>2937</v>
      </c>
      <c r="B1210" s="1205" t="s">
        <v>2334</v>
      </c>
      <c r="C1210" s="1205" t="s">
        <v>1444</v>
      </c>
      <c r="D1210" s="1206" t="s">
        <v>3608</v>
      </c>
      <c r="E1210" s="1207">
        <v>3000</v>
      </c>
      <c r="F1210" s="1208" t="s">
        <v>3609</v>
      </c>
      <c r="G1210" s="1206" t="s">
        <v>3610</v>
      </c>
      <c r="H1210" s="1206" t="s">
        <v>3608</v>
      </c>
      <c r="I1210" s="1209" t="s">
        <v>2940</v>
      </c>
      <c r="J1210" s="1206" t="s">
        <v>3608</v>
      </c>
      <c r="K1210" s="1205">
        <v>2</v>
      </c>
      <c r="L1210" s="1205">
        <v>6</v>
      </c>
      <c r="M1210" s="1207">
        <v>30000</v>
      </c>
      <c r="N1210" s="1205">
        <v>2</v>
      </c>
      <c r="O1210" s="1205">
        <v>6</v>
      </c>
      <c r="P1210" s="1207">
        <v>30000</v>
      </c>
    </row>
    <row r="1211" spans="1:16" x14ac:dyDescent="0.2">
      <c r="A1211" s="1204" t="s">
        <v>2937</v>
      </c>
      <c r="B1211" s="1205" t="s">
        <v>2334</v>
      </c>
      <c r="C1211" s="1205" t="s">
        <v>1444</v>
      </c>
      <c r="D1211" s="1206" t="s">
        <v>1834</v>
      </c>
      <c r="E1211" s="1207">
        <v>6000</v>
      </c>
      <c r="F1211" s="1208" t="s">
        <v>3611</v>
      </c>
      <c r="G1211" s="1206" t="s">
        <v>3612</v>
      </c>
      <c r="H1211" s="1206" t="s">
        <v>1834</v>
      </c>
      <c r="I1211" s="1209" t="s">
        <v>2940</v>
      </c>
      <c r="J1211" s="1206" t="s">
        <v>1834</v>
      </c>
      <c r="K1211" s="1205">
        <v>3</v>
      </c>
      <c r="L1211" s="1205">
        <v>6</v>
      </c>
      <c r="M1211" s="1207">
        <v>36000</v>
      </c>
      <c r="N1211" s="1205">
        <v>3</v>
      </c>
      <c r="O1211" s="1205">
        <v>6</v>
      </c>
      <c r="P1211" s="1207">
        <v>36000</v>
      </c>
    </row>
    <row r="1212" spans="1:16" x14ac:dyDescent="0.2">
      <c r="A1212" s="1204" t="s">
        <v>2937</v>
      </c>
      <c r="B1212" s="1205" t="s">
        <v>2334</v>
      </c>
      <c r="C1212" s="1205" t="s">
        <v>1444</v>
      </c>
      <c r="D1212" s="1206" t="s">
        <v>1834</v>
      </c>
      <c r="E1212" s="1207">
        <v>6000</v>
      </c>
      <c r="F1212" s="1208" t="s">
        <v>3613</v>
      </c>
      <c r="G1212" s="1206" t="s">
        <v>3614</v>
      </c>
      <c r="H1212" s="1206" t="s">
        <v>1834</v>
      </c>
      <c r="I1212" s="1209" t="s">
        <v>2940</v>
      </c>
      <c r="J1212" s="1206" t="s">
        <v>1834</v>
      </c>
      <c r="K1212" s="1205">
        <v>1</v>
      </c>
      <c r="L1212" s="1205">
        <v>6</v>
      </c>
      <c r="M1212" s="1207">
        <v>36000</v>
      </c>
      <c r="N1212" s="1205">
        <v>1</v>
      </c>
      <c r="O1212" s="1205"/>
      <c r="P1212" s="1207">
        <v>0</v>
      </c>
    </row>
    <row r="1213" spans="1:16" x14ac:dyDescent="0.2">
      <c r="A1213" s="1204" t="s">
        <v>2937</v>
      </c>
      <c r="B1213" s="1205" t="s">
        <v>2334</v>
      </c>
      <c r="C1213" s="1205" t="s">
        <v>1444</v>
      </c>
      <c r="D1213" s="1206" t="s">
        <v>1834</v>
      </c>
      <c r="E1213" s="1207">
        <v>6000</v>
      </c>
      <c r="F1213" s="1208" t="s">
        <v>3615</v>
      </c>
      <c r="G1213" s="1206" t="s">
        <v>3616</v>
      </c>
      <c r="H1213" s="1206" t="s">
        <v>1834</v>
      </c>
      <c r="I1213" s="1209" t="s">
        <v>2940</v>
      </c>
      <c r="J1213" s="1206" t="s">
        <v>1834</v>
      </c>
      <c r="K1213" s="1205">
        <v>1</v>
      </c>
      <c r="L1213" s="1205">
        <v>6</v>
      </c>
      <c r="M1213" s="1207">
        <v>36000</v>
      </c>
      <c r="N1213" s="1205">
        <v>1</v>
      </c>
      <c r="O1213" s="1205"/>
      <c r="P1213" s="1207">
        <v>0</v>
      </c>
    </row>
    <row r="1214" spans="1:16" x14ac:dyDescent="0.2">
      <c r="A1214" s="1204" t="s">
        <v>2937</v>
      </c>
      <c r="B1214" s="1205" t="s">
        <v>2334</v>
      </c>
      <c r="C1214" s="1205" t="s">
        <v>1444</v>
      </c>
      <c r="D1214" s="1206" t="s">
        <v>1834</v>
      </c>
      <c r="E1214" s="1207">
        <v>6000</v>
      </c>
      <c r="F1214" s="1208" t="s">
        <v>3617</v>
      </c>
      <c r="G1214" s="1206" t="s">
        <v>3618</v>
      </c>
      <c r="H1214" s="1206" t="s">
        <v>1834</v>
      </c>
      <c r="I1214" s="1209" t="s">
        <v>2940</v>
      </c>
      <c r="J1214" s="1206" t="s">
        <v>1834</v>
      </c>
      <c r="K1214" s="1205">
        <v>2</v>
      </c>
      <c r="L1214" s="1205">
        <v>6</v>
      </c>
      <c r="M1214" s="1207">
        <v>36000</v>
      </c>
      <c r="N1214" s="1205">
        <v>2</v>
      </c>
      <c r="O1214" s="1205">
        <v>6</v>
      </c>
      <c r="P1214" s="1207">
        <v>36000</v>
      </c>
    </row>
    <row r="1215" spans="1:16" ht="12.75" x14ac:dyDescent="0.2">
      <c r="A1215" s="1204" t="s">
        <v>2937</v>
      </c>
      <c r="B1215" s="1205" t="s">
        <v>2334</v>
      </c>
      <c r="C1215" s="1205" t="s">
        <v>1444</v>
      </c>
      <c r="D1215" s="1206" t="s">
        <v>2337</v>
      </c>
      <c r="E1215" s="1207">
        <v>2200</v>
      </c>
      <c r="F1215" s="1208" t="s">
        <v>3619</v>
      </c>
      <c r="G1215" s="1206" t="s">
        <v>3620</v>
      </c>
      <c r="H1215" s="1206" t="s">
        <v>2337</v>
      </c>
      <c r="I1215" s="1209" t="s">
        <v>2940</v>
      </c>
      <c r="J1215" s="1206" t="s">
        <v>2337</v>
      </c>
      <c r="K1215" s="1205">
        <v>2</v>
      </c>
      <c r="L1215" s="1205">
        <v>6</v>
      </c>
      <c r="M1215" s="1207">
        <v>13200</v>
      </c>
      <c r="N1215" s="1210">
        <v>2</v>
      </c>
      <c r="O1215" s="1210">
        <v>6</v>
      </c>
      <c r="P1215" s="1211">
        <v>13200</v>
      </c>
    </row>
    <row r="1216" spans="1:16" ht="12.75" x14ac:dyDescent="0.2">
      <c r="A1216" s="1204" t="s">
        <v>2937</v>
      </c>
      <c r="B1216" s="1205" t="s">
        <v>2334</v>
      </c>
      <c r="C1216" s="1205" t="s">
        <v>1444</v>
      </c>
      <c r="D1216" s="1206" t="s">
        <v>1834</v>
      </c>
      <c r="E1216" s="1207">
        <v>6000</v>
      </c>
      <c r="F1216" s="1208" t="s">
        <v>3621</v>
      </c>
      <c r="G1216" s="1206" t="s">
        <v>3622</v>
      </c>
      <c r="H1216" s="1206" t="s">
        <v>1834</v>
      </c>
      <c r="I1216" s="1209" t="s">
        <v>2940</v>
      </c>
      <c r="J1216" s="1206" t="s">
        <v>1834</v>
      </c>
      <c r="K1216" s="1205">
        <v>2</v>
      </c>
      <c r="L1216" s="1205">
        <v>6</v>
      </c>
      <c r="M1216" s="1207">
        <v>36000</v>
      </c>
      <c r="N1216" s="1210">
        <v>2</v>
      </c>
      <c r="O1216" s="1210">
        <v>6</v>
      </c>
      <c r="P1216" s="1211">
        <v>36000</v>
      </c>
    </row>
    <row r="1217" spans="1:16" x14ac:dyDescent="0.2">
      <c r="A1217" s="1204" t="s">
        <v>2937</v>
      </c>
      <c r="B1217" s="1205" t="s">
        <v>2334</v>
      </c>
      <c r="C1217" s="1205" t="s">
        <v>1444</v>
      </c>
      <c r="D1217" s="1206" t="s">
        <v>2047</v>
      </c>
      <c r="E1217" s="1207">
        <v>4000</v>
      </c>
      <c r="F1217" s="1208" t="s">
        <v>3623</v>
      </c>
      <c r="G1217" s="1206" t="s">
        <v>3624</v>
      </c>
      <c r="H1217" s="1206" t="s">
        <v>2535</v>
      </c>
      <c r="I1217" s="1209" t="s">
        <v>2940</v>
      </c>
      <c r="J1217" s="1206" t="s">
        <v>2535</v>
      </c>
      <c r="K1217" s="1205">
        <v>2</v>
      </c>
      <c r="L1217" s="1205">
        <v>6</v>
      </c>
      <c r="M1217" s="1207">
        <v>24000</v>
      </c>
      <c r="N1217" s="1205">
        <v>2</v>
      </c>
      <c r="O1217" s="1205">
        <v>6</v>
      </c>
      <c r="P1217" s="1207">
        <v>24000</v>
      </c>
    </row>
    <row r="1218" spans="1:16" x14ac:dyDescent="0.2">
      <c r="A1218" s="1204" t="s">
        <v>2937</v>
      </c>
      <c r="B1218" s="1205" t="s">
        <v>2334</v>
      </c>
      <c r="C1218" s="1205" t="s">
        <v>1444</v>
      </c>
      <c r="D1218" s="1206" t="s">
        <v>2337</v>
      </c>
      <c r="E1218" s="1207">
        <v>2200</v>
      </c>
      <c r="F1218" s="1208" t="s">
        <v>3625</v>
      </c>
      <c r="G1218" s="1206" t="s">
        <v>3626</v>
      </c>
      <c r="H1218" s="1206" t="s">
        <v>2337</v>
      </c>
      <c r="I1218" s="1209" t="s">
        <v>2940</v>
      </c>
      <c r="J1218" s="1206" t="s">
        <v>2337</v>
      </c>
      <c r="K1218" s="1205">
        <v>1</v>
      </c>
      <c r="L1218" s="1205">
        <v>6</v>
      </c>
      <c r="M1218" s="1207">
        <v>13200</v>
      </c>
      <c r="N1218" s="1205">
        <v>1</v>
      </c>
      <c r="O1218" s="1205">
        <v>6</v>
      </c>
      <c r="P1218" s="1207">
        <v>13200</v>
      </c>
    </row>
    <row r="1219" spans="1:16" x14ac:dyDescent="0.2">
      <c r="A1219" s="1204" t="s">
        <v>2937</v>
      </c>
      <c r="B1219" s="1205" t="s">
        <v>2334</v>
      </c>
      <c r="C1219" s="1205" t="s">
        <v>1444</v>
      </c>
      <c r="D1219" s="1206" t="s">
        <v>1834</v>
      </c>
      <c r="E1219" s="1207">
        <v>8000</v>
      </c>
      <c r="F1219" s="1208" t="s">
        <v>3627</v>
      </c>
      <c r="G1219" s="1206" t="s">
        <v>3628</v>
      </c>
      <c r="H1219" s="1206" t="s">
        <v>1834</v>
      </c>
      <c r="I1219" s="1209" t="s">
        <v>2940</v>
      </c>
      <c r="J1219" s="1206" t="s">
        <v>1834</v>
      </c>
      <c r="K1219" s="1205">
        <v>0</v>
      </c>
      <c r="L1219" s="1205">
        <v>0</v>
      </c>
      <c r="M1219" s="1207">
        <v>0</v>
      </c>
      <c r="N1219" s="1205">
        <v>1</v>
      </c>
      <c r="O1219" s="1205">
        <v>1</v>
      </c>
      <c r="P1219" s="1207">
        <v>8000</v>
      </c>
    </row>
    <row r="1220" spans="1:16" x14ac:dyDescent="0.2">
      <c r="A1220" s="1204" t="s">
        <v>2937</v>
      </c>
      <c r="B1220" s="1205" t="s">
        <v>2334</v>
      </c>
      <c r="C1220" s="1205" t="s">
        <v>1444</v>
      </c>
      <c r="D1220" s="1206" t="s">
        <v>1666</v>
      </c>
      <c r="E1220" s="1207">
        <v>2200</v>
      </c>
      <c r="F1220" s="1208" t="s">
        <v>3629</v>
      </c>
      <c r="G1220" s="1206" t="s">
        <v>3630</v>
      </c>
      <c r="H1220" s="1206" t="s">
        <v>1666</v>
      </c>
      <c r="I1220" s="1209" t="s">
        <v>2940</v>
      </c>
      <c r="J1220" s="1206" t="s">
        <v>1666</v>
      </c>
      <c r="K1220" s="1205">
        <v>1</v>
      </c>
      <c r="L1220" s="1205">
        <v>6</v>
      </c>
      <c r="M1220" s="1207">
        <v>13200</v>
      </c>
      <c r="N1220" s="1205">
        <v>1</v>
      </c>
      <c r="O1220" s="1205"/>
      <c r="P1220" s="1207">
        <v>0</v>
      </c>
    </row>
    <row r="1221" spans="1:16" x14ac:dyDescent="0.2">
      <c r="A1221" s="1204" t="s">
        <v>2937</v>
      </c>
      <c r="B1221" s="1205" t="s">
        <v>2334</v>
      </c>
      <c r="C1221" s="1205" t="s">
        <v>1444</v>
      </c>
      <c r="D1221" s="1206" t="s">
        <v>2337</v>
      </c>
      <c r="E1221" s="1207">
        <v>2200</v>
      </c>
      <c r="F1221" s="1208" t="s">
        <v>3631</v>
      </c>
      <c r="G1221" s="1206" t="s">
        <v>3632</v>
      </c>
      <c r="H1221" s="1206" t="s">
        <v>2337</v>
      </c>
      <c r="I1221" s="1209" t="s">
        <v>2940</v>
      </c>
      <c r="J1221" s="1206" t="s">
        <v>2337</v>
      </c>
      <c r="K1221" s="1205">
        <v>5</v>
      </c>
      <c r="L1221" s="1205">
        <v>6</v>
      </c>
      <c r="M1221" s="1207">
        <v>13200</v>
      </c>
      <c r="N1221" s="1205">
        <v>5</v>
      </c>
      <c r="O1221" s="1205">
        <v>6</v>
      </c>
      <c r="P1221" s="1207">
        <v>13200</v>
      </c>
    </row>
    <row r="1222" spans="1:16" x14ac:dyDescent="0.2">
      <c r="A1222" s="1204" t="s">
        <v>2937</v>
      </c>
      <c r="B1222" s="1205" t="s">
        <v>2334</v>
      </c>
      <c r="C1222" s="1205" t="s">
        <v>1444</v>
      </c>
      <c r="D1222" s="1206" t="s">
        <v>2337</v>
      </c>
      <c r="E1222" s="1207">
        <v>2200</v>
      </c>
      <c r="F1222" s="1208" t="s">
        <v>3633</v>
      </c>
      <c r="G1222" s="1206" t="s">
        <v>3634</v>
      </c>
      <c r="H1222" s="1206" t="s">
        <v>2337</v>
      </c>
      <c r="I1222" s="1209" t="s">
        <v>2940</v>
      </c>
      <c r="J1222" s="1206" t="s">
        <v>2337</v>
      </c>
      <c r="K1222" s="1205">
        <v>2</v>
      </c>
      <c r="L1222" s="1205">
        <v>6</v>
      </c>
      <c r="M1222" s="1207">
        <v>13200</v>
      </c>
      <c r="N1222" s="1205">
        <v>2</v>
      </c>
      <c r="O1222" s="1205">
        <v>6</v>
      </c>
      <c r="P1222" s="1207">
        <v>13200</v>
      </c>
    </row>
    <row r="1223" spans="1:16" x14ac:dyDescent="0.2">
      <c r="A1223" s="1204" t="s">
        <v>2937</v>
      </c>
      <c r="B1223" s="1205" t="s">
        <v>2334</v>
      </c>
      <c r="C1223" s="1205" t="s">
        <v>1444</v>
      </c>
      <c r="D1223" s="1206" t="s">
        <v>1758</v>
      </c>
      <c r="E1223" s="1207">
        <v>4000</v>
      </c>
      <c r="F1223" s="1208" t="s">
        <v>3635</v>
      </c>
      <c r="G1223" s="1206" t="s">
        <v>3636</v>
      </c>
      <c r="H1223" s="1206" t="s">
        <v>1758</v>
      </c>
      <c r="I1223" s="1209" t="s">
        <v>2940</v>
      </c>
      <c r="J1223" s="1206" t="s">
        <v>1758</v>
      </c>
      <c r="K1223" s="1205">
        <v>0</v>
      </c>
      <c r="L1223" s="1205">
        <v>0</v>
      </c>
      <c r="M1223" s="1207">
        <v>0</v>
      </c>
      <c r="N1223" s="1205">
        <v>1</v>
      </c>
      <c r="O1223" s="1205">
        <v>1</v>
      </c>
      <c r="P1223" s="1207">
        <v>4000</v>
      </c>
    </row>
    <row r="1224" spans="1:16" x14ac:dyDescent="0.2">
      <c r="A1224" s="1204" t="s">
        <v>2937</v>
      </c>
      <c r="B1224" s="1205" t="s">
        <v>2334</v>
      </c>
      <c r="C1224" s="1205" t="s">
        <v>1444</v>
      </c>
      <c r="D1224" s="1206" t="s">
        <v>1834</v>
      </c>
      <c r="E1224" s="1207">
        <v>6000</v>
      </c>
      <c r="F1224" s="1208" t="s">
        <v>3637</v>
      </c>
      <c r="G1224" s="1206" t="s">
        <v>3638</v>
      </c>
      <c r="H1224" s="1206" t="s">
        <v>1834</v>
      </c>
      <c r="I1224" s="1209" t="s">
        <v>2940</v>
      </c>
      <c r="J1224" s="1206" t="s">
        <v>1834</v>
      </c>
      <c r="K1224" s="1205">
        <v>2</v>
      </c>
      <c r="L1224" s="1205">
        <v>6</v>
      </c>
      <c r="M1224" s="1207">
        <v>36000</v>
      </c>
      <c r="N1224" s="1205">
        <v>2</v>
      </c>
      <c r="O1224" s="1205">
        <v>6</v>
      </c>
      <c r="P1224" s="1207">
        <v>36000</v>
      </c>
    </row>
    <row r="1225" spans="1:16" x14ac:dyDescent="0.2">
      <c r="A1225" s="1204" t="s">
        <v>2937</v>
      </c>
      <c r="B1225" s="1205" t="s">
        <v>2334</v>
      </c>
      <c r="C1225" s="1205" t="s">
        <v>1444</v>
      </c>
      <c r="D1225" s="1206" t="s">
        <v>2337</v>
      </c>
      <c r="E1225" s="1207">
        <v>4000</v>
      </c>
      <c r="F1225" s="1208" t="s">
        <v>3639</v>
      </c>
      <c r="G1225" s="1206" t="s">
        <v>3640</v>
      </c>
      <c r="H1225" s="1206" t="s">
        <v>2337</v>
      </c>
      <c r="I1225" s="1209" t="s">
        <v>2940</v>
      </c>
      <c r="J1225" s="1206" t="s">
        <v>2337</v>
      </c>
      <c r="K1225" s="1205">
        <v>0</v>
      </c>
      <c r="L1225" s="1205">
        <v>0</v>
      </c>
      <c r="M1225" s="1207">
        <v>0</v>
      </c>
      <c r="N1225" s="1205">
        <v>1</v>
      </c>
      <c r="O1225" s="1205">
        <v>2</v>
      </c>
      <c r="P1225" s="1207">
        <v>8000</v>
      </c>
    </row>
    <row r="1226" spans="1:16" x14ac:dyDescent="0.2">
      <c r="A1226" s="1204" t="s">
        <v>2937</v>
      </c>
      <c r="B1226" s="1205" t="s">
        <v>2334</v>
      </c>
      <c r="C1226" s="1205" t="s">
        <v>1444</v>
      </c>
      <c r="D1226" s="1206" t="s">
        <v>2337</v>
      </c>
      <c r="E1226" s="1207">
        <v>2200</v>
      </c>
      <c r="F1226" s="1208" t="s">
        <v>3641</v>
      </c>
      <c r="G1226" s="1206" t="s">
        <v>3642</v>
      </c>
      <c r="H1226" s="1206" t="s">
        <v>2337</v>
      </c>
      <c r="I1226" s="1209" t="s">
        <v>2940</v>
      </c>
      <c r="J1226" s="1206" t="s">
        <v>2337</v>
      </c>
      <c r="K1226" s="1205">
        <v>1</v>
      </c>
      <c r="L1226" s="1205">
        <v>6</v>
      </c>
      <c r="M1226" s="1207">
        <v>13200</v>
      </c>
      <c r="N1226" s="1205">
        <v>1</v>
      </c>
      <c r="O1226" s="1205">
        <v>6</v>
      </c>
      <c r="P1226" s="1207">
        <v>13200</v>
      </c>
    </row>
    <row r="1227" spans="1:16" x14ac:dyDescent="0.2">
      <c r="A1227" s="1204" t="s">
        <v>2937</v>
      </c>
      <c r="B1227" s="1205" t="s">
        <v>2334</v>
      </c>
      <c r="C1227" s="1205" t="s">
        <v>1444</v>
      </c>
      <c r="D1227" s="1206" t="s">
        <v>1834</v>
      </c>
      <c r="E1227" s="1207">
        <v>6000</v>
      </c>
      <c r="F1227" s="1208" t="s">
        <v>3643</v>
      </c>
      <c r="G1227" s="1206" t="s">
        <v>3644</v>
      </c>
      <c r="H1227" s="1206" t="s">
        <v>1834</v>
      </c>
      <c r="I1227" s="1209" t="s">
        <v>2940</v>
      </c>
      <c r="J1227" s="1206" t="s">
        <v>1834</v>
      </c>
      <c r="K1227" s="1205">
        <v>3</v>
      </c>
      <c r="L1227" s="1205">
        <v>6</v>
      </c>
      <c r="M1227" s="1207">
        <v>36000</v>
      </c>
      <c r="N1227" s="1205">
        <v>3</v>
      </c>
      <c r="O1227" s="1205">
        <v>6</v>
      </c>
      <c r="P1227" s="1207">
        <v>36000</v>
      </c>
    </row>
    <row r="1228" spans="1:16" x14ac:dyDescent="0.2">
      <c r="A1228" s="1204" t="s">
        <v>2937</v>
      </c>
      <c r="B1228" s="1205" t="s">
        <v>2334</v>
      </c>
      <c r="C1228" s="1205" t="s">
        <v>1444</v>
      </c>
      <c r="D1228" s="1206" t="s">
        <v>2337</v>
      </c>
      <c r="E1228" s="1207">
        <v>2200</v>
      </c>
      <c r="F1228" s="1208" t="s">
        <v>3645</v>
      </c>
      <c r="G1228" s="1206" t="s">
        <v>3646</v>
      </c>
      <c r="H1228" s="1206" t="s">
        <v>2337</v>
      </c>
      <c r="I1228" s="1209" t="s">
        <v>2940</v>
      </c>
      <c r="J1228" s="1206" t="s">
        <v>2337</v>
      </c>
      <c r="K1228" s="1205">
        <v>2</v>
      </c>
      <c r="L1228" s="1205">
        <v>6</v>
      </c>
      <c r="M1228" s="1207">
        <v>13200</v>
      </c>
      <c r="N1228" s="1205">
        <v>2</v>
      </c>
      <c r="O1228" s="1205">
        <v>6</v>
      </c>
      <c r="P1228" s="1207">
        <v>13200</v>
      </c>
    </row>
    <row r="1229" spans="1:16" x14ac:dyDescent="0.2">
      <c r="A1229" s="1204" t="s">
        <v>2937</v>
      </c>
      <c r="B1229" s="1205" t="s">
        <v>2334</v>
      </c>
      <c r="C1229" s="1205" t="s">
        <v>1444</v>
      </c>
      <c r="D1229" s="1206" t="s">
        <v>1744</v>
      </c>
      <c r="E1229" s="1207">
        <v>2200</v>
      </c>
      <c r="F1229" s="1208" t="s">
        <v>3647</v>
      </c>
      <c r="G1229" s="1206" t="s">
        <v>3648</v>
      </c>
      <c r="H1229" s="1206" t="s">
        <v>1744</v>
      </c>
      <c r="I1229" s="1209" t="s">
        <v>2940</v>
      </c>
      <c r="J1229" s="1206" t="s">
        <v>1744</v>
      </c>
      <c r="K1229" s="1205">
        <v>1</v>
      </c>
      <c r="L1229" s="1205">
        <v>6</v>
      </c>
      <c r="M1229" s="1207">
        <v>13200</v>
      </c>
      <c r="N1229" s="1205">
        <v>1</v>
      </c>
      <c r="O1229" s="1205"/>
      <c r="P1229" s="1207">
        <v>0</v>
      </c>
    </row>
    <row r="1230" spans="1:16" x14ac:dyDescent="0.2">
      <c r="A1230" s="1204" t="s">
        <v>2937</v>
      </c>
      <c r="B1230" s="1205" t="s">
        <v>2334</v>
      </c>
      <c r="C1230" s="1205" t="s">
        <v>1444</v>
      </c>
      <c r="D1230" s="1206" t="s">
        <v>1651</v>
      </c>
      <c r="E1230" s="1207">
        <v>3000</v>
      </c>
      <c r="F1230" s="1208" t="s">
        <v>3649</v>
      </c>
      <c r="G1230" s="1206" t="s">
        <v>3650</v>
      </c>
      <c r="H1230" s="1206" t="s">
        <v>1651</v>
      </c>
      <c r="I1230" s="1209" t="s">
        <v>2940</v>
      </c>
      <c r="J1230" s="1206" t="s">
        <v>1651</v>
      </c>
      <c r="K1230" s="1205">
        <v>0</v>
      </c>
      <c r="L1230" s="1205">
        <v>0</v>
      </c>
      <c r="M1230" s="1207">
        <v>0</v>
      </c>
      <c r="N1230" s="1205">
        <v>1</v>
      </c>
      <c r="O1230" s="1205">
        <v>2</v>
      </c>
      <c r="P1230" s="1207">
        <v>6000</v>
      </c>
    </row>
    <row r="1231" spans="1:16" x14ac:dyDescent="0.2">
      <c r="A1231" s="1204" t="s">
        <v>2937</v>
      </c>
      <c r="B1231" s="1205" t="s">
        <v>2334</v>
      </c>
      <c r="C1231" s="1205" t="s">
        <v>1444</v>
      </c>
      <c r="D1231" s="1206" t="s">
        <v>2535</v>
      </c>
      <c r="E1231" s="1207">
        <v>4000</v>
      </c>
      <c r="F1231" s="1208" t="s">
        <v>3651</v>
      </c>
      <c r="G1231" s="1206" t="s">
        <v>3652</v>
      </c>
      <c r="H1231" s="1206" t="s">
        <v>2535</v>
      </c>
      <c r="I1231" s="1209" t="s">
        <v>2940</v>
      </c>
      <c r="J1231" s="1206" t="s">
        <v>2535</v>
      </c>
      <c r="K1231" s="1205">
        <v>1</v>
      </c>
      <c r="L1231" s="1205">
        <v>6</v>
      </c>
      <c r="M1231" s="1207">
        <v>24000</v>
      </c>
      <c r="N1231" s="1205">
        <v>1</v>
      </c>
      <c r="O1231" s="1205"/>
      <c r="P1231" s="1207">
        <v>0</v>
      </c>
    </row>
    <row r="1232" spans="1:16" x14ac:dyDescent="0.2">
      <c r="A1232" s="1204" t="s">
        <v>2937</v>
      </c>
      <c r="B1232" s="1205" t="s">
        <v>2334</v>
      </c>
      <c r="C1232" s="1205" t="s">
        <v>1444</v>
      </c>
      <c r="D1232" s="1206" t="s">
        <v>1651</v>
      </c>
      <c r="E1232" s="1207">
        <v>3000</v>
      </c>
      <c r="F1232" s="1208" t="s">
        <v>3653</v>
      </c>
      <c r="G1232" s="1206" t="s">
        <v>3654</v>
      </c>
      <c r="H1232" s="1206" t="s">
        <v>1651</v>
      </c>
      <c r="I1232" s="1209" t="s">
        <v>2940</v>
      </c>
      <c r="J1232" s="1206" t="s">
        <v>1651</v>
      </c>
      <c r="K1232" s="1205">
        <v>0</v>
      </c>
      <c r="L1232" s="1205">
        <v>0</v>
      </c>
      <c r="M1232" s="1207">
        <v>0</v>
      </c>
      <c r="N1232" s="1205">
        <v>1</v>
      </c>
      <c r="O1232" s="1205">
        <v>1</v>
      </c>
      <c r="P1232" s="1207">
        <v>3000</v>
      </c>
    </row>
    <row r="1233" spans="1:16" x14ac:dyDescent="0.2">
      <c r="A1233" s="1204" t="s">
        <v>2937</v>
      </c>
      <c r="B1233" s="1205" t="s">
        <v>2334</v>
      </c>
      <c r="C1233" s="1205" t="s">
        <v>1444</v>
      </c>
      <c r="D1233" s="1206" t="s">
        <v>2612</v>
      </c>
      <c r="E1233" s="1207">
        <v>5600</v>
      </c>
      <c r="F1233" s="1208" t="s">
        <v>3655</v>
      </c>
      <c r="G1233" s="1206" t="s">
        <v>3656</v>
      </c>
      <c r="H1233" s="1206" t="s">
        <v>2612</v>
      </c>
      <c r="I1233" s="1209" t="s">
        <v>2940</v>
      </c>
      <c r="J1233" s="1206" t="s">
        <v>2612</v>
      </c>
      <c r="K1233" s="1205">
        <v>3</v>
      </c>
      <c r="L1233" s="1205">
        <v>5</v>
      </c>
      <c r="M1233" s="1207">
        <v>28000</v>
      </c>
      <c r="N1233" s="1205">
        <v>3</v>
      </c>
      <c r="O1233" s="1205">
        <v>5</v>
      </c>
      <c r="P1233" s="1207">
        <v>28000</v>
      </c>
    </row>
    <row r="1234" spans="1:16" x14ac:dyDescent="0.2">
      <c r="A1234" s="1204" t="s">
        <v>2937</v>
      </c>
      <c r="B1234" s="1205" t="s">
        <v>2334</v>
      </c>
      <c r="C1234" s="1205" t="s">
        <v>1444</v>
      </c>
      <c r="D1234" s="1206" t="s">
        <v>1834</v>
      </c>
      <c r="E1234" s="1207">
        <v>8000</v>
      </c>
      <c r="F1234" s="1208" t="s">
        <v>3657</v>
      </c>
      <c r="G1234" s="1206" t="s">
        <v>3658</v>
      </c>
      <c r="H1234" s="1206" t="s">
        <v>1834</v>
      </c>
      <c r="I1234" s="1209" t="s">
        <v>2940</v>
      </c>
      <c r="J1234" s="1206" t="s">
        <v>1834</v>
      </c>
      <c r="K1234" s="1205">
        <v>0</v>
      </c>
      <c r="L1234" s="1205">
        <v>0</v>
      </c>
      <c r="M1234" s="1207">
        <v>0</v>
      </c>
      <c r="N1234" s="1205">
        <v>1</v>
      </c>
      <c r="O1234" s="1205">
        <v>1</v>
      </c>
      <c r="P1234" s="1207">
        <v>8000</v>
      </c>
    </row>
    <row r="1235" spans="1:16" x14ac:dyDescent="0.2">
      <c r="A1235" s="1204" t="s">
        <v>2937</v>
      </c>
      <c r="B1235" s="1205" t="s">
        <v>2334</v>
      </c>
      <c r="C1235" s="1205" t="s">
        <v>1444</v>
      </c>
      <c r="D1235" s="1206" t="s">
        <v>3659</v>
      </c>
      <c r="E1235" s="1207">
        <v>4500</v>
      </c>
      <c r="F1235" s="1208" t="s">
        <v>3660</v>
      </c>
      <c r="G1235" s="1206" t="s">
        <v>3661</v>
      </c>
      <c r="H1235" s="1206" t="s">
        <v>3659</v>
      </c>
      <c r="I1235" s="1209" t="s">
        <v>2940</v>
      </c>
      <c r="J1235" s="1206" t="s">
        <v>3659</v>
      </c>
      <c r="K1235" s="1205">
        <v>1</v>
      </c>
      <c r="L1235" s="1205">
        <v>6</v>
      </c>
      <c r="M1235" s="1207">
        <v>27000</v>
      </c>
      <c r="N1235" s="1205">
        <v>1</v>
      </c>
      <c r="O1235" s="1205"/>
      <c r="P1235" s="1207">
        <v>0</v>
      </c>
    </row>
    <row r="1236" spans="1:16" ht="12.75" x14ac:dyDescent="0.2">
      <c r="A1236" s="1204" t="s">
        <v>2937</v>
      </c>
      <c r="B1236" s="1205" t="s">
        <v>2334</v>
      </c>
      <c r="C1236" s="1205" t="s">
        <v>1444</v>
      </c>
      <c r="D1236" s="1206" t="s">
        <v>3662</v>
      </c>
      <c r="E1236" s="1207">
        <v>5000</v>
      </c>
      <c r="F1236" s="1208" t="s">
        <v>3663</v>
      </c>
      <c r="G1236" s="1206" t="s">
        <v>3664</v>
      </c>
      <c r="H1236" s="1206" t="s">
        <v>3662</v>
      </c>
      <c r="I1236" s="1209" t="s">
        <v>2940</v>
      </c>
      <c r="J1236" s="1206" t="s">
        <v>3662</v>
      </c>
      <c r="K1236" s="1205">
        <v>2</v>
      </c>
      <c r="L1236" s="1205">
        <v>2</v>
      </c>
      <c r="M1236" s="1207">
        <v>10000</v>
      </c>
      <c r="N1236" s="1210">
        <v>2</v>
      </c>
      <c r="O1236" s="1210">
        <v>2</v>
      </c>
      <c r="P1236" s="1211">
        <v>10000</v>
      </c>
    </row>
    <row r="1237" spans="1:16" ht="12.75" x14ac:dyDescent="0.2">
      <c r="A1237" s="1204" t="s">
        <v>2937</v>
      </c>
      <c r="B1237" s="1205" t="s">
        <v>2334</v>
      </c>
      <c r="C1237" s="1205" t="s">
        <v>1444</v>
      </c>
      <c r="D1237" s="1206" t="s">
        <v>1999</v>
      </c>
      <c r="E1237" s="1207">
        <v>2200</v>
      </c>
      <c r="F1237" s="1208" t="s">
        <v>3665</v>
      </c>
      <c r="G1237" s="1206" t="s">
        <v>3666</v>
      </c>
      <c r="H1237" s="1206" t="s">
        <v>1999</v>
      </c>
      <c r="I1237" s="1209" t="s">
        <v>2940</v>
      </c>
      <c r="J1237" s="1206" t="s">
        <v>1999</v>
      </c>
      <c r="K1237" s="1205">
        <v>2</v>
      </c>
      <c r="L1237" s="1205">
        <v>6</v>
      </c>
      <c r="M1237" s="1207">
        <v>13200</v>
      </c>
      <c r="N1237" s="1210">
        <v>2</v>
      </c>
      <c r="O1237" s="1210">
        <v>6</v>
      </c>
      <c r="P1237" s="1211">
        <v>13200</v>
      </c>
    </row>
    <row r="1238" spans="1:16" x14ac:dyDescent="0.2">
      <c r="A1238" s="1204" t="s">
        <v>2937</v>
      </c>
      <c r="B1238" s="1205" t="s">
        <v>2334</v>
      </c>
      <c r="C1238" s="1205" t="s">
        <v>1444</v>
      </c>
      <c r="D1238" s="1206" t="s">
        <v>2337</v>
      </c>
      <c r="E1238" s="1207">
        <v>2200</v>
      </c>
      <c r="F1238" s="1208" t="s">
        <v>3667</v>
      </c>
      <c r="G1238" s="1206" t="s">
        <v>3668</v>
      </c>
      <c r="H1238" s="1206" t="s">
        <v>2337</v>
      </c>
      <c r="I1238" s="1209" t="s">
        <v>2940</v>
      </c>
      <c r="J1238" s="1206" t="s">
        <v>2337</v>
      </c>
      <c r="K1238" s="1205">
        <v>0</v>
      </c>
      <c r="L1238" s="1205">
        <v>0</v>
      </c>
      <c r="M1238" s="1207">
        <v>0</v>
      </c>
      <c r="N1238" s="1205">
        <v>1</v>
      </c>
      <c r="O1238" s="1205">
        <v>6</v>
      </c>
      <c r="P1238" s="1207">
        <v>13200</v>
      </c>
    </row>
    <row r="1239" spans="1:16" x14ac:dyDescent="0.2">
      <c r="A1239" s="1204" t="s">
        <v>2937</v>
      </c>
      <c r="B1239" s="1205" t="s">
        <v>2334</v>
      </c>
      <c r="C1239" s="1205" t="s">
        <v>1444</v>
      </c>
      <c r="D1239" s="1206" t="s">
        <v>2337</v>
      </c>
      <c r="E1239" s="1207">
        <v>4000</v>
      </c>
      <c r="F1239" s="1208" t="s">
        <v>3669</v>
      </c>
      <c r="G1239" s="1206" t="s">
        <v>3670</v>
      </c>
      <c r="H1239" s="1206" t="s">
        <v>2337</v>
      </c>
      <c r="I1239" s="1209" t="s">
        <v>2940</v>
      </c>
      <c r="J1239" s="1206" t="s">
        <v>2337</v>
      </c>
      <c r="K1239" s="1205">
        <v>0</v>
      </c>
      <c r="L1239" s="1205">
        <v>0</v>
      </c>
      <c r="M1239" s="1207">
        <v>0</v>
      </c>
      <c r="N1239" s="1205">
        <v>1</v>
      </c>
      <c r="O1239" s="1205">
        <v>3</v>
      </c>
      <c r="P1239" s="1207">
        <v>12000</v>
      </c>
    </row>
    <row r="1240" spans="1:16" x14ac:dyDescent="0.2">
      <c r="A1240" s="1204" t="s">
        <v>2937</v>
      </c>
      <c r="B1240" s="1205" t="s">
        <v>2334</v>
      </c>
      <c r="C1240" s="1205" t="s">
        <v>1444</v>
      </c>
      <c r="D1240" s="1206" t="s">
        <v>2337</v>
      </c>
      <c r="E1240" s="1207">
        <v>2200</v>
      </c>
      <c r="F1240" s="1208" t="s">
        <v>3671</v>
      </c>
      <c r="G1240" s="1206" t="s">
        <v>3672</v>
      </c>
      <c r="H1240" s="1206" t="s">
        <v>2337</v>
      </c>
      <c r="I1240" s="1209" t="s">
        <v>2940</v>
      </c>
      <c r="J1240" s="1206" t="s">
        <v>2337</v>
      </c>
      <c r="K1240" s="1205">
        <v>2</v>
      </c>
      <c r="L1240" s="1205">
        <v>6</v>
      </c>
      <c r="M1240" s="1207">
        <v>13200</v>
      </c>
      <c r="N1240" s="1205">
        <v>2</v>
      </c>
      <c r="O1240" s="1205">
        <v>6</v>
      </c>
      <c r="P1240" s="1207">
        <v>13200</v>
      </c>
    </row>
    <row r="1241" spans="1:16" x14ac:dyDescent="0.2">
      <c r="A1241" s="1204" t="s">
        <v>2937</v>
      </c>
      <c r="B1241" s="1205" t="s">
        <v>2334</v>
      </c>
      <c r="C1241" s="1205" t="s">
        <v>1444</v>
      </c>
      <c r="D1241" s="1206" t="s">
        <v>2337</v>
      </c>
      <c r="E1241" s="1207">
        <v>2200</v>
      </c>
      <c r="F1241" s="1208" t="s">
        <v>3673</v>
      </c>
      <c r="G1241" s="1206" t="s">
        <v>3674</v>
      </c>
      <c r="H1241" s="1206" t="s">
        <v>2337</v>
      </c>
      <c r="I1241" s="1209" t="s">
        <v>2940</v>
      </c>
      <c r="J1241" s="1206" t="s">
        <v>2337</v>
      </c>
      <c r="K1241" s="1205">
        <v>3</v>
      </c>
      <c r="L1241" s="1205">
        <v>6</v>
      </c>
      <c r="M1241" s="1207">
        <v>13200</v>
      </c>
      <c r="N1241" s="1205">
        <v>3</v>
      </c>
      <c r="O1241" s="1205">
        <v>6</v>
      </c>
      <c r="P1241" s="1207">
        <v>13200</v>
      </c>
    </row>
    <row r="1242" spans="1:16" x14ac:dyDescent="0.2">
      <c r="A1242" s="1204" t="s">
        <v>2937</v>
      </c>
      <c r="B1242" s="1205" t="s">
        <v>2334</v>
      </c>
      <c r="C1242" s="1205" t="s">
        <v>1444</v>
      </c>
      <c r="D1242" s="1206" t="s">
        <v>2337</v>
      </c>
      <c r="E1242" s="1207">
        <v>2200</v>
      </c>
      <c r="F1242" s="1208" t="s">
        <v>3675</v>
      </c>
      <c r="G1242" s="1206" t="s">
        <v>3676</v>
      </c>
      <c r="H1242" s="1206" t="s">
        <v>2337</v>
      </c>
      <c r="I1242" s="1209" t="s">
        <v>2940</v>
      </c>
      <c r="J1242" s="1206" t="s">
        <v>2337</v>
      </c>
      <c r="K1242" s="1205">
        <v>2</v>
      </c>
      <c r="L1242" s="1205">
        <v>6</v>
      </c>
      <c r="M1242" s="1207">
        <v>13200</v>
      </c>
      <c r="N1242" s="1205">
        <v>2</v>
      </c>
      <c r="O1242" s="1205">
        <v>6</v>
      </c>
      <c r="P1242" s="1207">
        <v>13200</v>
      </c>
    </row>
    <row r="1243" spans="1:16" x14ac:dyDescent="0.2">
      <c r="A1243" s="1204" t="s">
        <v>2937</v>
      </c>
      <c r="B1243" s="1205" t="s">
        <v>2334</v>
      </c>
      <c r="C1243" s="1205" t="s">
        <v>1444</v>
      </c>
      <c r="D1243" s="1206" t="s">
        <v>1651</v>
      </c>
      <c r="E1243" s="1207">
        <v>1125</v>
      </c>
      <c r="F1243" s="1208" t="s">
        <v>3677</v>
      </c>
      <c r="G1243" s="1206" t="s">
        <v>3678</v>
      </c>
      <c r="H1243" s="1206" t="s">
        <v>1651</v>
      </c>
      <c r="I1243" s="1209" t="s">
        <v>2940</v>
      </c>
      <c r="J1243" s="1206" t="s">
        <v>1651</v>
      </c>
      <c r="K1243" s="1205">
        <v>2</v>
      </c>
      <c r="L1243" s="1205">
        <v>6</v>
      </c>
      <c r="M1243" s="1207">
        <v>6750</v>
      </c>
      <c r="N1243" s="1205">
        <v>2</v>
      </c>
      <c r="O1243" s="1205">
        <v>6</v>
      </c>
      <c r="P1243" s="1207">
        <v>6750</v>
      </c>
    </row>
    <row r="1244" spans="1:16" x14ac:dyDescent="0.2">
      <c r="A1244" s="1204" t="s">
        <v>2937</v>
      </c>
      <c r="B1244" s="1205" t="s">
        <v>2334</v>
      </c>
      <c r="C1244" s="1205" t="s">
        <v>1444</v>
      </c>
      <c r="D1244" s="1206" t="s">
        <v>1646</v>
      </c>
      <c r="E1244" s="1207">
        <v>3000</v>
      </c>
      <c r="F1244" s="1208" t="s">
        <v>3679</v>
      </c>
      <c r="G1244" s="1206" t="s">
        <v>3680</v>
      </c>
      <c r="H1244" s="1206" t="s">
        <v>1646</v>
      </c>
      <c r="I1244" s="1209" t="s">
        <v>2940</v>
      </c>
      <c r="J1244" s="1206" t="s">
        <v>1646</v>
      </c>
      <c r="K1244" s="1205">
        <v>1</v>
      </c>
      <c r="L1244" s="1205">
        <v>6</v>
      </c>
      <c r="M1244" s="1207">
        <v>18000</v>
      </c>
      <c r="N1244" s="1205">
        <v>1</v>
      </c>
      <c r="O1244" s="1205"/>
      <c r="P1244" s="1207">
        <v>0</v>
      </c>
    </row>
    <row r="1245" spans="1:16" x14ac:dyDescent="0.2">
      <c r="A1245" s="1204" t="s">
        <v>2937</v>
      </c>
      <c r="B1245" s="1205" t="s">
        <v>2334</v>
      </c>
      <c r="C1245" s="1205" t="s">
        <v>1444</v>
      </c>
      <c r="D1245" s="1206" t="s">
        <v>2844</v>
      </c>
      <c r="E1245" s="1207">
        <v>4000</v>
      </c>
      <c r="F1245" s="1208" t="s">
        <v>3681</v>
      </c>
      <c r="G1245" s="1206" t="s">
        <v>3682</v>
      </c>
      <c r="H1245" s="1206" t="s">
        <v>2844</v>
      </c>
      <c r="I1245" s="1209" t="s">
        <v>2940</v>
      </c>
      <c r="J1245" s="1206" t="s">
        <v>2844</v>
      </c>
      <c r="K1245" s="1205">
        <v>0</v>
      </c>
      <c r="L1245" s="1205">
        <v>0</v>
      </c>
      <c r="M1245" s="1207">
        <v>0</v>
      </c>
      <c r="N1245" s="1205">
        <v>1</v>
      </c>
      <c r="O1245" s="1205">
        <v>3</v>
      </c>
      <c r="P1245" s="1207">
        <v>12000</v>
      </c>
    </row>
    <row r="1246" spans="1:16" x14ac:dyDescent="0.2">
      <c r="A1246" s="1204" t="s">
        <v>2937</v>
      </c>
      <c r="B1246" s="1205" t="s">
        <v>2334</v>
      </c>
      <c r="C1246" s="1205" t="s">
        <v>1444</v>
      </c>
      <c r="D1246" s="1206" t="s">
        <v>1651</v>
      </c>
      <c r="E1246" s="1207">
        <v>3000</v>
      </c>
      <c r="F1246" s="1208" t="s">
        <v>3683</v>
      </c>
      <c r="G1246" s="1206" t="s">
        <v>3684</v>
      </c>
      <c r="H1246" s="1206" t="s">
        <v>1651</v>
      </c>
      <c r="I1246" s="1209" t="s">
        <v>2940</v>
      </c>
      <c r="J1246" s="1206" t="s">
        <v>1651</v>
      </c>
      <c r="K1246" s="1205">
        <v>0</v>
      </c>
      <c r="L1246" s="1205">
        <v>0</v>
      </c>
      <c r="M1246" s="1207">
        <v>0</v>
      </c>
      <c r="N1246" s="1205">
        <v>1</v>
      </c>
      <c r="O1246" s="1205">
        <v>1</v>
      </c>
      <c r="P1246" s="1207">
        <v>3000</v>
      </c>
    </row>
    <row r="1247" spans="1:16" x14ac:dyDescent="0.2">
      <c r="A1247" s="1204" t="s">
        <v>2937</v>
      </c>
      <c r="B1247" s="1205" t="s">
        <v>2334</v>
      </c>
      <c r="C1247" s="1205" t="s">
        <v>1444</v>
      </c>
      <c r="D1247" s="1206" t="s">
        <v>1651</v>
      </c>
      <c r="E1247" s="1207">
        <v>1125</v>
      </c>
      <c r="F1247" s="1208" t="s">
        <v>3685</v>
      </c>
      <c r="G1247" s="1206" t="s">
        <v>3686</v>
      </c>
      <c r="H1247" s="1206" t="s">
        <v>1651</v>
      </c>
      <c r="I1247" s="1209" t="s">
        <v>2940</v>
      </c>
      <c r="J1247" s="1206" t="s">
        <v>1651</v>
      </c>
      <c r="K1247" s="1205">
        <v>2</v>
      </c>
      <c r="L1247" s="1205">
        <v>6</v>
      </c>
      <c r="M1247" s="1207">
        <v>6750</v>
      </c>
      <c r="N1247" s="1205">
        <v>2</v>
      </c>
      <c r="O1247" s="1205">
        <v>6</v>
      </c>
      <c r="P1247" s="1207">
        <v>6750</v>
      </c>
    </row>
    <row r="1248" spans="1:16" x14ac:dyDescent="0.2">
      <c r="A1248" s="1204" t="s">
        <v>2937</v>
      </c>
      <c r="B1248" s="1205" t="s">
        <v>2334</v>
      </c>
      <c r="C1248" s="1205" t="s">
        <v>1444</v>
      </c>
      <c r="D1248" s="1206" t="s">
        <v>1651</v>
      </c>
      <c r="E1248" s="1207">
        <v>3000</v>
      </c>
      <c r="F1248" s="1208" t="s">
        <v>3687</v>
      </c>
      <c r="G1248" s="1206" t="s">
        <v>3688</v>
      </c>
      <c r="H1248" s="1206" t="s">
        <v>1651</v>
      </c>
      <c r="I1248" s="1209" t="s">
        <v>2940</v>
      </c>
      <c r="J1248" s="1206" t="s">
        <v>1651</v>
      </c>
      <c r="K1248" s="1205">
        <v>0</v>
      </c>
      <c r="L1248" s="1205">
        <v>0</v>
      </c>
      <c r="M1248" s="1207">
        <v>0</v>
      </c>
      <c r="N1248" s="1205">
        <v>1</v>
      </c>
      <c r="O1248" s="1205">
        <v>2</v>
      </c>
      <c r="P1248" s="1207">
        <v>6000</v>
      </c>
    </row>
    <row r="1249" spans="1:16" x14ac:dyDescent="0.2">
      <c r="A1249" s="1204" t="s">
        <v>2937</v>
      </c>
      <c r="B1249" s="1205" t="s">
        <v>2334</v>
      </c>
      <c r="C1249" s="1205" t="s">
        <v>1444</v>
      </c>
      <c r="D1249" s="1206" t="s">
        <v>1651</v>
      </c>
      <c r="E1249" s="1207">
        <v>3000</v>
      </c>
      <c r="F1249" s="1208" t="s">
        <v>3689</v>
      </c>
      <c r="G1249" s="1206" t="s">
        <v>3690</v>
      </c>
      <c r="H1249" s="1206" t="s">
        <v>1651</v>
      </c>
      <c r="I1249" s="1209" t="s">
        <v>2940</v>
      </c>
      <c r="J1249" s="1206" t="s">
        <v>1651</v>
      </c>
      <c r="K1249" s="1205">
        <v>0</v>
      </c>
      <c r="L1249" s="1205">
        <v>0</v>
      </c>
      <c r="M1249" s="1207">
        <v>0</v>
      </c>
      <c r="N1249" s="1205">
        <v>1</v>
      </c>
      <c r="O1249" s="1205">
        <v>3</v>
      </c>
      <c r="P1249" s="1207">
        <v>9000</v>
      </c>
    </row>
    <row r="1250" spans="1:16" ht="12.75" x14ac:dyDescent="0.2">
      <c r="A1250" s="1204" t="s">
        <v>2937</v>
      </c>
      <c r="B1250" s="1205" t="s">
        <v>2334</v>
      </c>
      <c r="C1250" s="1205" t="s">
        <v>1444</v>
      </c>
      <c r="D1250" s="1206" t="s">
        <v>1834</v>
      </c>
      <c r="E1250" s="1207">
        <v>6000</v>
      </c>
      <c r="F1250" s="1208" t="s">
        <v>3691</v>
      </c>
      <c r="G1250" s="1206" t="s">
        <v>3692</v>
      </c>
      <c r="H1250" s="1206" t="s">
        <v>1834</v>
      </c>
      <c r="I1250" s="1209" t="s">
        <v>2940</v>
      </c>
      <c r="J1250" s="1206" t="s">
        <v>1834</v>
      </c>
      <c r="K1250" s="1205">
        <v>2</v>
      </c>
      <c r="L1250" s="1205">
        <v>6</v>
      </c>
      <c r="M1250" s="1207">
        <v>36000</v>
      </c>
      <c r="N1250" s="1210">
        <v>2</v>
      </c>
      <c r="O1250" s="1210">
        <v>6</v>
      </c>
      <c r="P1250" s="1211">
        <v>36000</v>
      </c>
    </row>
    <row r="1251" spans="1:16" x14ac:dyDescent="0.2">
      <c r="A1251" s="1204" t="s">
        <v>2937</v>
      </c>
      <c r="B1251" s="1205" t="s">
        <v>2334</v>
      </c>
      <c r="C1251" s="1205" t="s">
        <v>1444</v>
      </c>
      <c r="D1251" s="1206" t="s">
        <v>1834</v>
      </c>
      <c r="E1251" s="1207">
        <v>6000</v>
      </c>
      <c r="F1251" s="1208" t="s">
        <v>3693</v>
      </c>
      <c r="G1251" s="1206" t="s">
        <v>3694</v>
      </c>
      <c r="H1251" s="1206" t="s">
        <v>1834</v>
      </c>
      <c r="I1251" s="1209" t="s">
        <v>2940</v>
      </c>
      <c r="J1251" s="1206" t="s">
        <v>1834</v>
      </c>
      <c r="K1251" s="1205">
        <v>1</v>
      </c>
      <c r="L1251" s="1205">
        <v>6</v>
      </c>
      <c r="M1251" s="1207">
        <v>36000</v>
      </c>
      <c r="N1251" s="1205">
        <v>1</v>
      </c>
      <c r="O1251" s="1205"/>
      <c r="P1251" s="1207">
        <v>0</v>
      </c>
    </row>
    <row r="1252" spans="1:16" x14ac:dyDescent="0.2">
      <c r="A1252" s="1204" t="s">
        <v>2937</v>
      </c>
      <c r="B1252" s="1205" t="s">
        <v>2334</v>
      </c>
      <c r="C1252" s="1205" t="s">
        <v>1444</v>
      </c>
      <c r="D1252" s="1206" t="s">
        <v>2337</v>
      </c>
      <c r="E1252" s="1207">
        <v>2200</v>
      </c>
      <c r="F1252" s="1208" t="s">
        <v>3695</v>
      </c>
      <c r="G1252" s="1206" t="s">
        <v>3696</v>
      </c>
      <c r="H1252" s="1206" t="s">
        <v>2337</v>
      </c>
      <c r="I1252" s="1209" t="s">
        <v>2940</v>
      </c>
      <c r="J1252" s="1206" t="s">
        <v>2337</v>
      </c>
      <c r="K1252" s="1205">
        <v>2</v>
      </c>
      <c r="L1252" s="1205">
        <v>6</v>
      </c>
      <c r="M1252" s="1207">
        <v>13200</v>
      </c>
      <c r="N1252" s="1205">
        <v>2</v>
      </c>
      <c r="O1252" s="1205">
        <v>6</v>
      </c>
      <c r="P1252" s="1207">
        <v>13200</v>
      </c>
    </row>
    <row r="1253" spans="1:16" x14ac:dyDescent="0.2">
      <c r="A1253" s="1204" t="s">
        <v>2937</v>
      </c>
      <c r="B1253" s="1205" t="s">
        <v>2334</v>
      </c>
      <c r="C1253" s="1205" t="s">
        <v>1444</v>
      </c>
      <c r="D1253" s="1206" t="s">
        <v>1651</v>
      </c>
      <c r="E1253" s="1207">
        <v>3000</v>
      </c>
      <c r="F1253" s="1208" t="s">
        <v>3697</v>
      </c>
      <c r="G1253" s="1206" t="s">
        <v>3698</v>
      </c>
      <c r="H1253" s="1206" t="s">
        <v>1651</v>
      </c>
      <c r="I1253" s="1209" t="s">
        <v>2940</v>
      </c>
      <c r="J1253" s="1206" t="s">
        <v>1651</v>
      </c>
      <c r="K1253" s="1205">
        <v>0</v>
      </c>
      <c r="L1253" s="1205">
        <v>0</v>
      </c>
      <c r="M1253" s="1207">
        <v>0</v>
      </c>
      <c r="N1253" s="1205">
        <v>1</v>
      </c>
      <c r="O1253" s="1205">
        <v>1</v>
      </c>
      <c r="P1253" s="1207">
        <v>3000</v>
      </c>
    </row>
    <row r="1254" spans="1:16" x14ac:dyDescent="0.2">
      <c r="A1254" s="1204" t="s">
        <v>2937</v>
      </c>
      <c r="B1254" s="1205" t="s">
        <v>2334</v>
      </c>
      <c r="C1254" s="1205" t="s">
        <v>1444</v>
      </c>
      <c r="D1254" s="1206" t="s">
        <v>2337</v>
      </c>
      <c r="E1254" s="1207">
        <v>2200</v>
      </c>
      <c r="F1254" s="1208" t="s">
        <v>3699</v>
      </c>
      <c r="G1254" s="1206" t="s">
        <v>3700</v>
      </c>
      <c r="H1254" s="1206" t="s">
        <v>2337</v>
      </c>
      <c r="I1254" s="1209" t="s">
        <v>2940</v>
      </c>
      <c r="J1254" s="1206" t="s">
        <v>2337</v>
      </c>
      <c r="K1254" s="1205">
        <v>1</v>
      </c>
      <c r="L1254" s="1205">
        <v>6</v>
      </c>
      <c r="M1254" s="1207">
        <v>13200</v>
      </c>
      <c r="N1254" s="1205">
        <v>1</v>
      </c>
      <c r="O1254" s="1205">
        <v>6</v>
      </c>
      <c r="P1254" s="1207">
        <v>13200</v>
      </c>
    </row>
    <row r="1255" spans="1:16" x14ac:dyDescent="0.2">
      <c r="A1255" s="1204" t="s">
        <v>2937</v>
      </c>
      <c r="B1255" s="1205" t="s">
        <v>2334</v>
      </c>
      <c r="C1255" s="1205" t="s">
        <v>1444</v>
      </c>
      <c r="D1255" s="1206" t="s">
        <v>1716</v>
      </c>
      <c r="E1255" s="1207">
        <v>2500</v>
      </c>
      <c r="F1255" s="1208" t="s">
        <v>3701</v>
      </c>
      <c r="G1255" s="1206" t="s">
        <v>3702</v>
      </c>
      <c r="H1255" s="1206" t="s">
        <v>1716</v>
      </c>
      <c r="I1255" s="1209" t="s">
        <v>2940</v>
      </c>
      <c r="J1255" s="1206" t="s">
        <v>1716</v>
      </c>
      <c r="K1255" s="1205">
        <v>0</v>
      </c>
      <c r="L1255" s="1205">
        <v>0</v>
      </c>
      <c r="M1255" s="1207">
        <v>0</v>
      </c>
      <c r="N1255" s="1205">
        <v>1</v>
      </c>
      <c r="O1255" s="1205">
        <v>1</v>
      </c>
      <c r="P1255" s="1207">
        <v>2500</v>
      </c>
    </row>
    <row r="1256" spans="1:16" x14ac:dyDescent="0.2">
      <c r="A1256" s="1204" t="s">
        <v>2937</v>
      </c>
      <c r="B1256" s="1205" t="s">
        <v>2334</v>
      </c>
      <c r="C1256" s="1205" t="s">
        <v>1444</v>
      </c>
      <c r="D1256" s="1206" t="s">
        <v>1716</v>
      </c>
      <c r="E1256" s="1207">
        <v>2500</v>
      </c>
      <c r="F1256" s="1208" t="s">
        <v>3703</v>
      </c>
      <c r="G1256" s="1206" t="s">
        <v>3704</v>
      </c>
      <c r="H1256" s="1206" t="s">
        <v>1716</v>
      </c>
      <c r="I1256" s="1209" t="s">
        <v>2940</v>
      </c>
      <c r="J1256" s="1206" t="s">
        <v>1716</v>
      </c>
      <c r="K1256" s="1205">
        <v>0</v>
      </c>
      <c r="L1256" s="1205">
        <v>0</v>
      </c>
      <c r="M1256" s="1207">
        <v>0</v>
      </c>
      <c r="N1256" s="1205">
        <v>1</v>
      </c>
      <c r="O1256" s="1205">
        <v>1</v>
      </c>
      <c r="P1256" s="1207">
        <v>2500</v>
      </c>
    </row>
    <row r="1257" spans="1:16" x14ac:dyDescent="0.2">
      <c r="A1257" s="1204" t="s">
        <v>2937</v>
      </c>
      <c r="B1257" s="1205" t="s">
        <v>2334</v>
      </c>
      <c r="C1257" s="1205" t="s">
        <v>1444</v>
      </c>
      <c r="D1257" s="1206" t="s">
        <v>1758</v>
      </c>
      <c r="E1257" s="1207">
        <v>4000</v>
      </c>
      <c r="F1257" s="1208" t="s">
        <v>3705</v>
      </c>
      <c r="G1257" s="1206" t="s">
        <v>3706</v>
      </c>
      <c r="H1257" s="1206" t="s">
        <v>1758</v>
      </c>
      <c r="I1257" s="1209" t="s">
        <v>2940</v>
      </c>
      <c r="J1257" s="1206" t="s">
        <v>1758</v>
      </c>
      <c r="K1257" s="1205">
        <v>0</v>
      </c>
      <c r="L1257" s="1205">
        <v>0</v>
      </c>
      <c r="M1257" s="1207">
        <v>0</v>
      </c>
      <c r="N1257" s="1205">
        <v>1</v>
      </c>
      <c r="O1257" s="1205">
        <v>1</v>
      </c>
      <c r="P1257" s="1207">
        <v>4000</v>
      </c>
    </row>
    <row r="1258" spans="1:16" x14ac:dyDescent="0.2">
      <c r="A1258" s="1204" t="s">
        <v>2937</v>
      </c>
      <c r="B1258" s="1205" t="s">
        <v>2334</v>
      </c>
      <c r="C1258" s="1205" t="s">
        <v>1444</v>
      </c>
      <c r="D1258" s="1206" t="s">
        <v>1834</v>
      </c>
      <c r="E1258" s="1207">
        <v>8000</v>
      </c>
      <c r="F1258" s="1208" t="s">
        <v>3707</v>
      </c>
      <c r="G1258" s="1206" t="s">
        <v>3708</v>
      </c>
      <c r="H1258" s="1206" t="s">
        <v>1834</v>
      </c>
      <c r="I1258" s="1209" t="s">
        <v>2940</v>
      </c>
      <c r="J1258" s="1206" t="s">
        <v>1834</v>
      </c>
      <c r="K1258" s="1205">
        <v>0</v>
      </c>
      <c r="L1258" s="1205">
        <v>0</v>
      </c>
      <c r="M1258" s="1207">
        <v>0</v>
      </c>
      <c r="N1258" s="1205">
        <v>1</v>
      </c>
      <c r="O1258" s="1205">
        <v>1</v>
      </c>
      <c r="P1258" s="1207">
        <v>8000</v>
      </c>
    </row>
    <row r="1259" spans="1:16" x14ac:dyDescent="0.2">
      <c r="A1259" s="1204" t="s">
        <v>2937</v>
      </c>
      <c r="B1259" s="1205" t="s">
        <v>2334</v>
      </c>
      <c r="C1259" s="1205" t="s">
        <v>1444</v>
      </c>
      <c r="D1259" s="1206" t="s">
        <v>3145</v>
      </c>
      <c r="E1259" s="1207">
        <v>1060</v>
      </c>
      <c r="F1259" s="1208" t="s">
        <v>3709</v>
      </c>
      <c r="G1259" s="1206" t="s">
        <v>3710</v>
      </c>
      <c r="H1259" s="1206" t="s">
        <v>3145</v>
      </c>
      <c r="I1259" s="1209" t="s">
        <v>2940</v>
      </c>
      <c r="J1259" s="1206" t="s">
        <v>3145</v>
      </c>
      <c r="K1259" s="1205">
        <v>5</v>
      </c>
      <c r="L1259" s="1205">
        <v>6</v>
      </c>
      <c r="M1259" s="1207">
        <v>6360</v>
      </c>
      <c r="N1259" s="1205">
        <v>5</v>
      </c>
      <c r="O1259" s="1205">
        <v>6</v>
      </c>
      <c r="P1259" s="1207">
        <v>6360</v>
      </c>
    </row>
    <row r="1260" spans="1:16" x14ac:dyDescent="0.2">
      <c r="A1260" s="1204" t="s">
        <v>2937</v>
      </c>
      <c r="B1260" s="1205" t="s">
        <v>2334</v>
      </c>
      <c r="C1260" s="1205" t="s">
        <v>1444</v>
      </c>
      <c r="D1260" s="1206" t="s">
        <v>613</v>
      </c>
      <c r="E1260" s="1207">
        <v>1125</v>
      </c>
      <c r="F1260" s="1208" t="s">
        <v>3711</v>
      </c>
      <c r="G1260" s="1206" t="s">
        <v>3712</v>
      </c>
      <c r="H1260" s="1206" t="s">
        <v>613</v>
      </c>
      <c r="I1260" s="1209" t="s">
        <v>2940</v>
      </c>
      <c r="J1260" s="1206" t="s">
        <v>613</v>
      </c>
      <c r="K1260" s="1205">
        <v>7</v>
      </c>
      <c r="L1260" s="1205">
        <v>6</v>
      </c>
      <c r="M1260" s="1207">
        <v>6750</v>
      </c>
      <c r="N1260" s="1205">
        <v>7</v>
      </c>
      <c r="O1260" s="1205">
        <v>6</v>
      </c>
      <c r="P1260" s="1207">
        <v>6750</v>
      </c>
    </row>
    <row r="1261" spans="1:16" x14ac:dyDescent="0.2">
      <c r="A1261" s="1204" t="s">
        <v>2937</v>
      </c>
      <c r="B1261" s="1205" t="s">
        <v>2334</v>
      </c>
      <c r="C1261" s="1205" t="s">
        <v>1444</v>
      </c>
      <c r="D1261" s="1206" t="s">
        <v>2337</v>
      </c>
      <c r="E1261" s="1207">
        <v>4000</v>
      </c>
      <c r="F1261" s="1208" t="s">
        <v>3713</v>
      </c>
      <c r="G1261" s="1206" t="s">
        <v>3714</v>
      </c>
      <c r="H1261" s="1206" t="s">
        <v>2337</v>
      </c>
      <c r="I1261" s="1209" t="s">
        <v>2940</v>
      </c>
      <c r="J1261" s="1206" t="s">
        <v>2337</v>
      </c>
      <c r="K1261" s="1205">
        <v>0</v>
      </c>
      <c r="L1261" s="1205">
        <v>0</v>
      </c>
      <c r="M1261" s="1207">
        <v>0</v>
      </c>
      <c r="N1261" s="1205">
        <v>1</v>
      </c>
      <c r="O1261" s="1205">
        <v>1</v>
      </c>
      <c r="P1261" s="1207">
        <v>4000</v>
      </c>
    </row>
    <row r="1262" spans="1:16" ht="12.75" x14ac:dyDescent="0.2">
      <c r="A1262" s="1204" t="s">
        <v>2937</v>
      </c>
      <c r="B1262" s="1205" t="s">
        <v>2334</v>
      </c>
      <c r="C1262" s="1205" t="s">
        <v>1444</v>
      </c>
      <c r="D1262" s="1206" t="s">
        <v>613</v>
      </c>
      <c r="E1262" s="1207">
        <v>2500</v>
      </c>
      <c r="F1262" s="1208" t="s">
        <v>3715</v>
      </c>
      <c r="G1262" s="1206" t="s">
        <v>3716</v>
      </c>
      <c r="H1262" s="1206" t="s">
        <v>613</v>
      </c>
      <c r="I1262" s="1209" t="s">
        <v>2940</v>
      </c>
      <c r="J1262" s="1206" t="s">
        <v>613</v>
      </c>
      <c r="K1262" s="1205">
        <v>2</v>
      </c>
      <c r="L1262" s="1205">
        <v>6</v>
      </c>
      <c r="M1262" s="1207">
        <v>15000</v>
      </c>
      <c r="N1262" s="1210">
        <v>2</v>
      </c>
      <c r="O1262" s="1210">
        <v>6</v>
      </c>
      <c r="P1262" s="1211">
        <v>15000</v>
      </c>
    </row>
    <row r="1263" spans="1:16" x14ac:dyDescent="0.2">
      <c r="A1263" s="1204" t="s">
        <v>2937</v>
      </c>
      <c r="B1263" s="1205" t="s">
        <v>2334</v>
      </c>
      <c r="C1263" s="1205" t="s">
        <v>1444</v>
      </c>
      <c r="D1263" s="1206" t="s">
        <v>2337</v>
      </c>
      <c r="E1263" s="1207">
        <v>2200</v>
      </c>
      <c r="F1263" s="1208" t="s">
        <v>3717</v>
      </c>
      <c r="G1263" s="1206" t="s">
        <v>3718</v>
      </c>
      <c r="H1263" s="1206" t="s">
        <v>2337</v>
      </c>
      <c r="I1263" s="1209" t="s">
        <v>2940</v>
      </c>
      <c r="J1263" s="1206" t="s">
        <v>2337</v>
      </c>
      <c r="K1263" s="1205">
        <v>1</v>
      </c>
      <c r="L1263" s="1205">
        <v>6</v>
      </c>
      <c r="M1263" s="1207">
        <v>13200</v>
      </c>
      <c r="N1263" s="1205">
        <v>1</v>
      </c>
      <c r="O1263" s="1205">
        <v>6</v>
      </c>
      <c r="P1263" s="1207">
        <v>13200</v>
      </c>
    </row>
    <row r="1264" spans="1:16" x14ac:dyDescent="0.2">
      <c r="A1264" s="1204" t="s">
        <v>2937</v>
      </c>
      <c r="B1264" s="1205" t="s">
        <v>2334</v>
      </c>
      <c r="C1264" s="1205" t="s">
        <v>1444</v>
      </c>
      <c r="D1264" s="1206" t="s">
        <v>1666</v>
      </c>
      <c r="E1264" s="1207">
        <v>2200</v>
      </c>
      <c r="F1264" s="1208" t="s">
        <v>3719</v>
      </c>
      <c r="G1264" s="1206" t="s">
        <v>3720</v>
      </c>
      <c r="H1264" s="1206" t="s">
        <v>1666</v>
      </c>
      <c r="I1264" s="1209" t="s">
        <v>2940</v>
      </c>
      <c r="J1264" s="1206" t="s">
        <v>1666</v>
      </c>
      <c r="K1264" s="1205">
        <v>0</v>
      </c>
      <c r="L1264" s="1205">
        <v>0</v>
      </c>
      <c r="M1264" s="1207">
        <v>0</v>
      </c>
      <c r="N1264" s="1205">
        <v>1</v>
      </c>
      <c r="O1264" s="1205">
        <v>6</v>
      </c>
      <c r="P1264" s="1207">
        <v>13200</v>
      </c>
    </row>
    <row r="1265" spans="1:16" x14ac:dyDescent="0.2">
      <c r="A1265" s="1204" t="s">
        <v>2937</v>
      </c>
      <c r="B1265" s="1205" t="s">
        <v>2334</v>
      </c>
      <c r="C1265" s="1205" t="s">
        <v>1444</v>
      </c>
      <c r="D1265" s="1206" t="s">
        <v>2337</v>
      </c>
      <c r="E1265" s="1207">
        <v>2200</v>
      </c>
      <c r="F1265" s="1208" t="s">
        <v>3721</v>
      </c>
      <c r="G1265" s="1206" t="s">
        <v>3722</v>
      </c>
      <c r="H1265" s="1206" t="s">
        <v>2337</v>
      </c>
      <c r="I1265" s="1209" t="s">
        <v>2940</v>
      </c>
      <c r="J1265" s="1206" t="s">
        <v>2337</v>
      </c>
      <c r="K1265" s="1205">
        <v>2</v>
      </c>
      <c r="L1265" s="1205">
        <v>6</v>
      </c>
      <c r="M1265" s="1207">
        <v>13200</v>
      </c>
      <c r="N1265" s="1205">
        <v>2</v>
      </c>
      <c r="O1265" s="1205">
        <v>6</v>
      </c>
      <c r="P1265" s="1207">
        <v>13200</v>
      </c>
    </row>
    <row r="1266" spans="1:16" x14ac:dyDescent="0.2">
      <c r="A1266" s="1204" t="s">
        <v>2937</v>
      </c>
      <c r="B1266" s="1205" t="s">
        <v>2334</v>
      </c>
      <c r="C1266" s="1205" t="s">
        <v>1444</v>
      </c>
      <c r="D1266" s="1206" t="s">
        <v>947</v>
      </c>
      <c r="E1266" s="1207">
        <v>5000</v>
      </c>
      <c r="F1266" s="1208" t="s">
        <v>3723</v>
      </c>
      <c r="G1266" s="1206" t="s">
        <v>3724</v>
      </c>
      <c r="H1266" s="1206" t="s">
        <v>947</v>
      </c>
      <c r="I1266" s="1209" t="s">
        <v>2940</v>
      </c>
      <c r="J1266" s="1206" t="s">
        <v>947</v>
      </c>
      <c r="K1266" s="1205">
        <v>1</v>
      </c>
      <c r="L1266" s="1205">
        <v>6</v>
      </c>
      <c r="M1266" s="1207">
        <v>30000</v>
      </c>
      <c r="N1266" s="1205">
        <v>1</v>
      </c>
      <c r="O1266" s="1205"/>
      <c r="P1266" s="1207">
        <v>0</v>
      </c>
    </row>
    <row r="1267" spans="1:16" x14ac:dyDescent="0.2">
      <c r="A1267" s="1204" t="s">
        <v>2937</v>
      </c>
      <c r="B1267" s="1205" t="s">
        <v>2334</v>
      </c>
      <c r="C1267" s="1205" t="s">
        <v>1444</v>
      </c>
      <c r="D1267" s="1206" t="s">
        <v>3451</v>
      </c>
      <c r="E1267" s="1207">
        <v>1000</v>
      </c>
      <c r="F1267" s="1208" t="s">
        <v>3725</v>
      </c>
      <c r="G1267" s="1206" t="s">
        <v>3726</v>
      </c>
      <c r="H1267" s="1206" t="s">
        <v>3451</v>
      </c>
      <c r="I1267" s="1209" t="s">
        <v>2940</v>
      </c>
      <c r="J1267" s="1206" t="s">
        <v>3451</v>
      </c>
      <c r="K1267" s="1205">
        <v>10</v>
      </c>
      <c r="L1267" s="1205">
        <v>6</v>
      </c>
      <c r="M1267" s="1207">
        <v>6000</v>
      </c>
      <c r="N1267" s="1205">
        <v>10</v>
      </c>
      <c r="O1267" s="1205">
        <v>6</v>
      </c>
      <c r="P1267" s="1207">
        <v>6000</v>
      </c>
    </row>
    <row r="1268" spans="1:16" x14ac:dyDescent="0.2">
      <c r="A1268" s="1204" t="s">
        <v>2937</v>
      </c>
      <c r="B1268" s="1205" t="s">
        <v>2334</v>
      </c>
      <c r="C1268" s="1205" t="s">
        <v>1444</v>
      </c>
      <c r="D1268" s="1206" t="s">
        <v>1651</v>
      </c>
      <c r="E1268" s="1207">
        <v>3000</v>
      </c>
      <c r="F1268" s="1208" t="s">
        <v>3727</v>
      </c>
      <c r="G1268" s="1206" t="s">
        <v>3728</v>
      </c>
      <c r="H1268" s="1206" t="s">
        <v>1651</v>
      </c>
      <c r="I1268" s="1209" t="s">
        <v>2940</v>
      </c>
      <c r="J1268" s="1206" t="s">
        <v>1651</v>
      </c>
      <c r="K1268" s="1205">
        <v>0</v>
      </c>
      <c r="L1268" s="1205">
        <v>0</v>
      </c>
      <c r="M1268" s="1207">
        <v>0</v>
      </c>
      <c r="N1268" s="1205">
        <v>1</v>
      </c>
      <c r="O1268" s="1205">
        <v>3</v>
      </c>
      <c r="P1268" s="1207">
        <v>9000</v>
      </c>
    </row>
    <row r="1269" spans="1:16" x14ac:dyDescent="0.2">
      <c r="A1269" s="1204" t="s">
        <v>2937</v>
      </c>
      <c r="B1269" s="1205" t="s">
        <v>2334</v>
      </c>
      <c r="C1269" s="1205" t="s">
        <v>1444</v>
      </c>
      <c r="D1269" s="1206" t="s">
        <v>1834</v>
      </c>
      <c r="E1269" s="1207">
        <v>8000</v>
      </c>
      <c r="F1269" s="1208" t="s">
        <v>3729</v>
      </c>
      <c r="G1269" s="1206" t="s">
        <v>3730</v>
      </c>
      <c r="H1269" s="1206" t="s">
        <v>1834</v>
      </c>
      <c r="I1269" s="1209" t="s">
        <v>2940</v>
      </c>
      <c r="J1269" s="1206" t="s">
        <v>1834</v>
      </c>
      <c r="K1269" s="1205">
        <v>0</v>
      </c>
      <c r="L1269" s="1205">
        <v>0</v>
      </c>
      <c r="M1269" s="1207">
        <v>0</v>
      </c>
      <c r="N1269" s="1205">
        <v>1</v>
      </c>
      <c r="O1269" s="1205">
        <v>1</v>
      </c>
      <c r="P1269" s="1207">
        <v>8000</v>
      </c>
    </row>
    <row r="1270" spans="1:16" x14ac:dyDescent="0.2">
      <c r="A1270" s="1204" t="s">
        <v>2937</v>
      </c>
      <c r="B1270" s="1205" t="s">
        <v>2334</v>
      </c>
      <c r="C1270" s="1205" t="s">
        <v>1444</v>
      </c>
      <c r="D1270" s="1206" t="s">
        <v>1651</v>
      </c>
      <c r="E1270" s="1207">
        <v>1200</v>
      </c>
      <c r="F1270" s="1208" t="s">
        <v>3731</v>
      </c>
      <c r="G1270" s="1206" t="s">
        <v>3732</v>
      </c>
      <c r="H1270" s="1206" t="s">
        <v>1651</v>
      </c>
      <c r="I1270" s="1209" t="s">
        <v>2940</v>
      </c>
      <c r="J1270" s="1206" t="s">
        <v>1651</v>
      </c>
      <c r="K1270" s="1205">
        <v>0</v>
      </c>
      <c r="L1270" s="1205">
        <v>0</v>
      </c>
      <c r="M1270" s="1207">
        <v>0</v>
      </c>
      <c r="N1270" s="1205">
        <v>1</v>
      </c>
      <c r="O1270" s="1205">
        <v>6</v>
      </c>
      <c r="P1270" s="1207">
        <v>7200</v>
      </c>
    </row>
    <row r="1271" spans="1:16" x14ac:dyDescent="0.2">
      <c r="A1271" s="1204" t="s">
        <v>2937</v>
      </c>
      <c r="B1271" s="1205" t="s">
        <v>2334</v>
      </c>
      <c r="C1271" s="1205" t="s">
        <v>1444</v>
      </c>
      <c r="D1271" s="1206" t="s">
        <v>1716</v>
      </c>
      <c r="E1271" s="1207">
        <v>2500</v>
      </c>
      <c r="F1271" s="1208" t="s">
        <v>3733</v>
      </c>
      <c r="G1271" s="1206" t="s">
        <v>3734</v>
      </c>
      <c r="H1271" s="1206" t="s">
        <v>1716</v>
      </c>
      <c r="I1271" s="1209" t="s">
        <v>2940</v>
      </c>
      <c r="J1271" s="1206" t="s">
        <v>1716</v>
      </c>
      <c r="K1271" s="1205">
        <v>0</v>
      </c>
      <c r="L1271" s="1205">
        <v>0</v>
      </c>
      <c r="M1271" s="1207">
        <v>0</v>
      </c>
      <c r="N1271" s="1205">
        <v>1</v>
      </c>
      <c r="O1271" s="1205">
        <v>1</v>
      </c>
      <c r="P1271" s="1207">
        <v>2500</v>
      </c>
    </row>
    <row r="1272" spans="1:16" x14ac:dyDescent="0.2">
      <c r="A1272" s="1204" t="s">
        <v>2937</v>
      </c>
      <c r="B1272" s="1205" t="s">
        <v>2334</v>
      </c>
      <c r="C1272" s="1205" t="s">
        <v>1444</v>
      </c>
      <c r="D1272" s="1206" t="s">
        <v>3145</v>
      </c>
      <c r="E1272" s="1207">
        <v>1030</v>
      </c>
      <c r="F1272" s="1208" t="s">
        <v>3735</v>
      </c>
      <c r="G1272" s="1206" t="s">
        <v>3736</v>
      </c>
      <c r="H1272" s="1206" t="s">
        <v>3145</v>
      </c>
      <c r="I1272" s="1209" t="s">
        <v>2940</v>
      </c>
      <c r="J1272" s="1206" t="s">
        <v>3145</v>
      </c>
      <c r="K1272" s="1205">
        <v>9</v>
      </c>
      <c r="L1272" s="1205">
        <v>6</v>
      </c>
      <c r="M1272" s="1207">
        <v>6180</v>
      </c>
      <c r="N1272" s="1205">
        <v>9</v>
      </c>
      <c r="O1272" s="1205">
        <v>6</v>
      </c>
      <c r="P1272" s="1207">
        <v>6180</v>
      </c>
    </row>
    <row r="1273" spans="1:16" ht="12.75" x14ac:dyDescent="0.2">
      <c r="A1273" s="1204" t="s">
        <v>2937</v>
      </c>
      <c r="B1273" s="1205" t="s">
        <v>2334</v>
      </c>
      <c r="C1273" s="1205" t="s">
        <v>1444</v>
      </c>
      <c r="D1273" s="1206" t="s">
        <v>2337</v>
      </c>
      <c r="E1273" s="1207">
        <v>2200</v>
      </c>
      <c r="F1273" s="1208" t="s">
        <v>3737</v>
      </c>
      <c r="G1273" s="1206" t="s">
        <v>3738</v>
      </c>
      <c r="H1273" s="1206" t="s">
        <v>2337</v>
      </c>
      <c r="I1273" s="1209" t="s">
        <v>2940</v>
      </c>
      <c r="J1273" s="1206" t="s">
        <v>2337</v>
      </c>
      <c r="K1273" s="1205">
        <v>2</v>
      </c>
      <c r="L1273" s="1205">
        <v>6</v>
      </c>
      <c r="M1273" s="1207">
        <v>13200</v>
      </c>
      <c r="N1273" s="1210">
        <v>2</v>
      </c>
      <c r="O1273" s="1210">
        <v>6</v>
      </c>
      <c r="P1273" s="1211">
        <v>13200</v>
      </c>
    </row>
    <row r="1274" spans="1:16" x14ac:dyDescent="0.2">
      <c r="A1274" s="1204" t="s">
        <v>2937</v>
      </c>
      <c r="B1274" s="1205" t="s">
        <v>2334</v>
      </c>
      <c r="C1274" s="1205" t="s">
        <v>1444</v>
      </c>
      <c r="D1274" s="1206" t="s">
        <v>1834</v>
      </c>
      <c r="E1274" s="1207">
        <v>6000</v>
      </c>
      <c r="F1274" s="1208" t="s">
        <v>3739</v>
      </c>
      <c r="G1274" s="1206" t="s">
        <v>3740</v>
      </c>
      <c r="H1274" s="1206" t="s">
        <v>1834</v>
      </c>
      <c r="I1274" s="1209" t="s">
        <v>2940</v>
      </c>
      <c r="J1274" s="1206" t="s">
        <v>1834</v>
      </c>
      <c r="K1274" s="1205">
        <v>3</v>
      </c>
      <c r="L1274" s="1205">
        <v>6</v>
      </c>
      <c r="M1274" s="1207">
        <v>36000</v>
      </c>
      <c r="N1274" s="1205">
        <v>3</v>
      </c>
      <c r="O1274" s="1205">
        <v>6</v>
      </c>
      <c r="P1274" s="1207">
        <v>36000</v>
      </c>
    </row>
    <row r="1275" spans="1:16" x14ac:dyDescent="0.2">
      <c r="A1275" s="1204" t="s">
        <v>2937</v>
      </c>
      <c r="B1275" s="1205" t="s">
        <v>2334</v>
      </c>
      <c r="C1275" s="1205" t="s">
        <v>1444</v>
      </c>
      <c r="D1275" s="1206" t="s">
        <v>904</v>
      </c>
      <c r="E1275" s="1207">
        <v>1700</v>
      </c>
      <c r="F1275" s="1208" t="s">
        <v>3741</v>
      </c>
      <c r="G1275" s="1206" t="s">
        <v>3742</v>
      </c>
      <c r="H1275" s="1206" t="s">
        <v>904</v>
      </c>
      <c r="I1275" s="1209" t="s">
        <v>2940</v>
      </c>
      <c r="J1275" s="1206" t="s">
        <v>904</v>
      </c>
      <c r="K1275" s="1205">
        <v>3</v>
      </c>
      <c r="L1275" s="1205">
        <v>6</v>
      </c>
      <c r="M1275" s="1207">
        <v>10200</v>
      </c>
      <c r="N1275" s="1205">
        <v>3</v>
      </c>
      <c r="O1275" s="1205">
        <v>6</v>
      </c>
      <c r="P1275" s="1207">
        <v>10200</v>
      </c>
    </row>
    <row r="1276" spans="1:16" x14ac:dyDescent="0.2">
      <c r="A1276" s="1204" t="s">
        <v>2937</v>
      </c>
      <c r="B1276" s="1205" t="s">
        <v>2334</v>
      </c>
      <c r="C1276" s="1205" t="s">
        <v>1444</v>
      </c>
      <c r="D1276" s="1206" t="s">
        <v>1651</v>
      </c>
      <c r="E1276" s="1207">
        <v>3000</v>
      </c>
      <c r="F1276" s="1208" t="s">
        <v>3743</v>
      </c>
      <c r="G1276" s="1206" t="s">
        <v>3744</v>
      </c>
      <c r="H1276" s="1206" t="s">
        <v>1651</v>
      </c>
      <c r="I1276" s="1209" t="s">
        <v>2940</v>
      </c>
      <c r="J1276" s="1206" t="s">
        <v>1651</v>
      </c>
      <c r="K1276" s="1205">
        <v>0</v>
      </c>
      <c r="L1276" s="1205">
        <v>0</v>
      </c>
      <c r="M1276" s="1207">
        <v>0</v>
      </c>
      <c r="N1276" s="1205">
        <v>1</v>
      </c>
      <c r="O1276" s="1205">
        <v>1</v>
      </c>
      <c r="P1276" s="1207">
        <v>3000</v>
      </c>
    </row>
    <row r="1277" spans="1:16" x14ac:dyDescent="0.2">
      <c r="A1277" s="1204" t="s">
        <v>2937</v>
      </c>
      <c r="B1277" s="1205" t="s">
        <v>2334</v>
      </c>
      <c r="C1277" s="1205" t="s">
        <v>1444</v>
      </c>
      <c r="D1277" s="1206" t="s">
        <v>1673</v>
      </c>
      <c r="E1277" s="1207">
        <v>2200</v>
      </c>
      <c r="F1277" s="1208" t="s">
        <v>3745</v>
      </c>
      <c r="G1277" s="1206" t="s">
        <v>3746</v>
      </c>
      <c r="H1277" s="1206" t="s">
        <v>1673</v>
      </c>
      <c r="I1277" s="1209" t="s">
        <v>2940</v>
      </c>
      <c r="J1277" s="1206" t="s">
        <v>1673</v>
      </c>
      <c r="K1277" s="1205">
        <v>1</v>
      </c>
      <c r="L1277" s="1205">
        <v>6</v>
      </c>
      <c r="M1277" s="1207">
        <v>13200</v>
      </c>
      <c r="N1277" s="1205">
        <v>1</v>
      </c>
      <c r="O1277" s="1205">
        <v>6</v>
      </c>
      <c r="P1277" s="1207">
        <v>13200</v>
      </c>
    </row>
    <row r="1278" spans="1:16" x14ac:dyDescent="0.2">
      <c r="A1278" s="1204" t="s">
        <v>2937</v>
      </c>
      <c r="B1278" s="1205" t="s">
        <v>2334</v>
      </c>
      <c r="C1278" s="1205" t="s">
        <v>1444</v>
      </c>
      <c r="D1278" s="1206" t="s">
        <v>1834</v>
      </c>
      <c r="E1278" s="1207">
        <v>6000</v>
      </c>
      <c r="F1278" s="1208" t="s">
        <v>3747</v>
      </c>
      <c r="G1278" s="1206" t="s">
        <v>3748</v>
      </c>
      <c r="H1278" s="1206" t="s">
        <v>1834</v>
      </c>
      <c r="I1278" s="1209" t="s">
        <v>2940</v>
      </c>
      <c r="J1278" s="1206" t="s">
        <v>1834</v>
      </c>
      <c r="K1278" s="1205">
        <v>1</v>
      </c>
      <c r="L1278" s="1205">
        <v>6</v>
      </c>
      <c r="M1278" s="1207">
        <v>36000</v>
      </c>
      <c r="N1278" s="1205">
        <v>1</v>
      </c>
      <c r="O1278" s="1205"/>
      <c r="P1278" s="1207">
        <v>0</v>
      </c>
    </row>
    <row r="1279" spans="1:16" x14ac:dyDescent="0.2">
      <c r="A1279" s="1204" t="s">
        <v>2937</v>
      </c>
      <c r="B1279" s="1205" t="s">
        <v>2334</v>
      </c>
      <c r="C1279" s="1205" t="s">
        <v>1444</v>
      </c>
      <c r="D1279" s="1206" t="s">
        <v>2612</v>
      </c>
      <c r="E1279" s="1207">
        <v>3000</v>
      </c>
      <c r="F1279" s="1208" t="s">
        <v>3749</v>
      </c>
      <c r="G1279" s="1206" t="s">
        <v>3750</v>
      </c>
      <c r="H1279" s="1206" t="s">
        <v>2612</v>
      </c>
      <c r="I1279" s="1209" t="s">
        <v>2940</v>
      </c>
      <c r="J1279" s="1206" t="s">
        <v>2612</v>
      </c>
      <c r="K1279" s="1205">
        <v>1</v>
      </c>
      <c r="L1279" s="1205">
        <v>6</v>
      </c>
      <c r="M1279" s="1207">
        <v>33600</v>
      </c>
      <c r="N1279" s="1205">
        <v>1</v>
      </c>
      <c r="O1279" s="1205">
        <v>6</v>
      </c>
      <c r="P1279" s="1207">
        <v>33600</v>
      </c>
    </row>
    <row r="1280" spans="1:16" x14ac:dyDescent="0.2">
      <c r="A1280" s="1204" t="s">
        <v>2937</v>
      </c>
      <c r="B1280" s="1205" t="s">
        <v>2334</v>
      </c>
      <c r="C1280" s="1205" t="s">
        <v>1444</v>
      </c>
      <c r="D1280" s="1206" t="s">
        <v>1651</v>
      </c>
      <c r="E1280" s="1207">
        <v>1125</v>
      </c>
      <c r="F1280" s="1208" t="s">
        <v>3751</v>
      </c>
      <c r="G1280" s="1206" t="s">
        <v>3752</v>
      </c>
      <c r="H1280" s="1206" t="s">
        <v>1651</v>
      </c>
      <c r="I1280" s="1209" t="s">
        <v>2940</v>
      </c>
      <c r="J1280" s="1206" t="s">
        <v>1651</v>
      </c>
      <c r="K1280" s="1205">
        <v>0</v>
      </c>
      <c r="L1280" s="1205">
        <v>0</v>
      </c>
      <c r="M1280" s="1207">
        <v>0</v>
      </c>
      <c r="N1280" s="1205">
        <v>1</v>
      </c>
      <c r="O1280" s="1205">
        <v>6</v>
      </c>
      <c r="P1280" s="1207">
        <v>6750</v>
      </c>
    </row>
    <row r="1281" spans="1:16" x14ac:dyDescent="0.2">
      <c r="A1281" s="1204" t="s">
        <v>2937</v>
      </c>
      <c r="B1281" s="1205" t="s">
        <v>2334</v>
      </c>
      <c r="C1281" s="1205" t="s">
        <v>1444</v>
      </c>
      <c r="D1281" s="1206" t="s">
        <v>2337</v>
      </c>
      <c r="E1281" s="1207">
        <v>2200</v>
      </c>
      <c r="F1281" s="1208" t="s">
        <v>3753</v>
      </c>
      <c r="G1281" s="1206" t="s">
        <v>3754</v>
      </c>
      <c r="H1281" s="1206" t="s">
        <v>2337</v>
      </c>
      <c r="I1281" s="1209" t="s">
        <v>2940</v>
      </c>
      <c r="J1281" s="1206" t="s">
        <v>2337</v>
      </c>
      <c r="K1281" s="1205">
        <v>2</v>
      </c>
      <c r="L1281" s="1205">
        <v>6</v>
      </c>
      <c r="M1281" s="1207">
        <v>13200</v>
      </c>
      <c r="N1281" s="1205">
        <v>2</v>
      </c>
      <c r="O1281" s="1205">
        <v>6</v>
      </c>
      <c r="P1281" s="1207">
        <v>13200</v>
      </c>
    </row>
    <row r="1282" spans="1:16" x14ac:dyDescent="0.2">
      <c r="A1282" s="1204" t="s">
        <v>2937</v>
      </c>
      <c r="B1282" s="1205" t="s">
        <v>2334</v>
      </c>
      <c r="C1282" s="1205" t="s">
        <v>1444</v>
      </c>
      <c r="D1282" s="1206" t="s">
        <v>2337</v>
      </c>
      <c r="E1282" s="1207">
        <v>2200</v>
      </c>
      <c r="F1282" s="1208" t="s">
        <v>3755</v>
      </c>
      <c r="G1282" s="1206" t="s">
        <v>3756</v>
      </c>
      <c r="H1282" s="1206" t="s">
        <v>2337</v>
      </c>
      <c r="I1282" s="1209" t="s">
        <v>2940</v>
      </c>
      <c r="J1282" s="1206" t="s">
        <v>2337</v>
      </c>
      <c r="K1282" s="1205">
        <v>2</v>
      </c>
      <c r="L1282" s="1205">
        <v>6</v>
      </c>
      <c r="M1282" s="1207">
        <v>13200</v>
      </c>
      <c r="N1282" s="1205">
        <v>2</v>
      </c>
      <c r="O1282" s="1205">
        <v>6</v>
      </c>
      <c r="P1282" s="1207">
        <v>13200</v>
      </c>
    </row>
    <row r="1283" spans="1:16" x14ac:dyDescent="0.2">
      <c r="A1283" s="1204" t="s">
        <v>2937</v>
      </c>
      <c r="B1283" s="1205" t="s">
        <v>2334</v>
      </c>
      <c r="C1283" s="1205" t="s">
        <v>1444</v>
      </c>
      <c r="D1283" s="1206" t="s">
        <v>2430</v>
      </c>
      <c r="E1283" s="1207">
        <v>1060</v>
      </c>
      <c r="F1283" s="1208" t="s">
        <v>3757</v>
      </c>
      <c r="G1283" s="1206" t="s">
        <v>3758</v>
      </c>
      <c r="H1283" s="1206" t="s">
        <v>2430</v>
      </c>
      <c r="I1283" s="1209" t="s">
        <v>2940</v>
      </c>
      <c r="J1283" s="1206" t="s">
        <v>2430</v>
      </c>
      <c r="K1283" s="1205">
        <v>2</v>
      </c>
      <c r="L1283" s="1205">
        <v>6</v>
      </c>
      <c r="M1283" s="1207">
        <v>6360</v>
      </c>
      <c r="N1283" s="1205">
        <v>2</v>
      </c>
      <c r="O1283" s="1205">
        <v>6</v>
      </c>
      <c r="P1283" s="1207">
        <v>6360</v>
      </c>
    </row>
    <row r="1284" spans="1:16" x14ac:dyDescent="0.2">
      <c r="A1284" s="1204" t="s">
        <v>2937</v>
      </c>
      <c r="B1284" s="1205" t="s">
        <v>2334</v>
      </c>
      <c r="C1284" s="1205" t="s">
        <v>1444</v>
      </c>
      <c r="D1284" s="1206" t="s">
        <v>1651</v>
      </c>
      <c r="E1284" s="1207">
        <v>1200</v>
      </c>
      <c r="F1284" s="1208" t="s">
        <v>3759</v>
      </c>
      <c r="G1284" s="1206" t="s">
        <v>3760</v>
      </c>
      <c r="H1284" s="1206" t="s">
        <v>1651</v>
      </c>
      <c r="I1284" s="1209" t="s">
        <v>2940</v>
      </c>
      <c r="J1284" s="1206" t="s">
        <v>1651</v>
      </c>
      <c r="K1284" s="1205">
        <v>3</v>
      </c>
      <c r="L1284" s="1205">
        <v>6</v>
      </c>
      <c r="M1284" s="1207">
        <v>7200</v>
      </c>
      <c r="N1284" s="1205">
        <v>3</v>
      </c>
      <c r="O1284" s="1205">
        <v>6</v>
      </c>
      <c r="P1284" s="1207">
        <v>7200</v>
      </c>
    </row>
    <row r="1285" spans="1:16" x14ac:dyDescent="0.2">
      <c r="A1285" s="1204" t="s">
        <v>2937</v>
      </c>
      <c r="B1285" s="1205" t="s">
        <v>2334</v>
      </c>
      <c r="C1285" s="1205" t="s">
        <v>1444</v>
      </c>
      <c r="D1285" s="1206" t="s">
        <v>3145</v>
      </c>
      <c r="E1285" s="1207">
        <v>1030</v>
      </c>
      <c r="F1285" s="1208" t="s">
        <v>3761</v>
      </c>
      <c r="G1285" s="1206" t="s">
        <v>3762</v>
      </c>
      <c r="H1285" s="1206" t="s">
        <v>3145</v>
      </c>
      <c r="I1285" s="1209" t="s">
        <v>2940</v>
      </c>
      <c r="J1285" s="1206" t="s">
        <v>3145</v>
      </c>
      <c r="K1285" s="1205">
        <v>1</v>
      </c>
      <c r="L1285" s="1205">
        <v>6</v>
      </c>
      <c r="M1285" s="1207">
        <v>9600</v>
      </c>
      <c r="N1285" s="1205">
        <v>1</v>
      </c>
      <c r="O1285" s="1205">
        <v>6</v>
      </c>
      <c r="P1285" s="1207">
        <v>9600</v>
      </c>
    </row>
    <row r="1286" spans="1:16" x14ac:dyDescent="0.2">
      <c r="A1286" s="1204" t="s">
        <v>2937</v>
      </c>
      <c r="B1286" s="1205" t="s">
        <v>2334</v>
      </c>
      <c r="C1286" s="1205" t="s">
        <v>1444</v>
      </c>
      <c r="D1286" s="1206" t="s">
        <v>1651</v>
      </c>
      <c r="E1286" s="1207">
        <v>1125</v>
      </c>
      <c r="F1286" s="1208" t="s">
        <v>3763</v>
      </c>
      <c r="G1286" s="1206" t="s">
        <v>3764</v>
      </c>
      <c r="H1286" s="1206" t="s">
        <v>1651</v>
      </c>
      <c r="I1286" s="1209" t="s">
        <v>2940</v>
      </c>
      <c r="J1286" s="1206" t="s">
        <v>1651</v>
      </c>
      <c r="K1286" s="1205">
        <v>2</v>
      </c>
      <c r="L1286" s="1205">
        <v>6</v>
      </c>
      <c r="M1286" s="1207">
        <v>6750</v>
      </c>
      <c r="N1286" s="1205">
        <v>2</v>
      </c>
      <c r="O1286" s="1205">
        <v>6</v>
      </c>
      <c r="P1286" s="1207">
        <v>6750</v>
      </c>
    </row>
    <row r="1287" spans="1:16" x14ac:dyDescent="0.2">
      <c r="A1287" s="1204" t="s">
        <v>2937</v>
      </c>
      <c r="B1287" s="1205" t="s">
        <v>2334</v>
      </c>
      <c r="C1287" s="1205" t="s">
        <v>1444</v>
      </c>
      <c r="D1287" s="1206" t="s">
        <v>1834</v>
      </c>
      <c r="E1287" s="1207">
        <v>6000</v>
      </c>
      <c r="F1287" s="1208" t="s">
        <v>3765</v>
      </c>
      <c r="G1287" s="1206" t="s">
        <v>3766</v>
      </c>
      <c r="H1287" s="1206" t="s">
        <v>1834</v>
      </c>
      <c r="I1287" s="1209" t="s">
        <v>2940</v>
      </c>
      <c r="J1287" s="1206" t="s">
        <v>1834</v>
      </c>
      <c r="K1287" s="1205">
        <v>2</v>
      </c>
      <c r="L1287" s="1205">
        <v>6</v>
      </c>
      <c r="M1287" s="1207">
        <v>36000</v>
      </c>
      <c r="N1287" s="1205">
        <v>2</v>
      </c>
      <c r="O1287" s="1205">
        <v>6</v>
      </c>
      <c r="P1287" s="1207">
        <v>36000</v>
      </c>
    </row>
    <row r="1288" spans="1:16" x14ac:dyDescent="0.2">
      <c r="A1288" s="1204" t="s">
        <v>2937</v>
      </c>
      <c r="B1288" s="1205" t="s">
        <v>2334</v>
      </c>
      <c r="C1288" s="1205" t="s">
        <v>1444</v>
      </c>
      <c r="D1288" s="1206" t="s">
        <v>2337</v>
      </c>
      <c r="E1288" s="1207">
        <v>4000</v>
      </c>
      <c r="F1288" s="1208" t="s">
        <v>3767</v>
      </c>
      <c r="G1288" s="1206" t="s">
        <v>3768</v>
      </c>
      <c r="H1288" s="1206" t="s">
        <v>2337</v>
      </c>
      <c r="I1288" s="1209" t="s">
        <v>2940</v>
      </c>
      <c r="J1288" s="1206" t="s">
        <v>2337</v>
      </c>
      <c r="K1288" s="1205">
        <v>0</v>
      </c>
      <c r="L1288" s="1205">
        <v>0</v>
      </c>
      <c r="M1288" s="1207">
        <v>0</v>
      </c>
      <c r="N1288" s="1205">
        <v>1</v>
      </c>
      <c r="O1288" s="1205">
        <v>3</v>
      </c>
      <c r="P1288" s="1207">
        <v>12000</v>
      </c>
    </row>
    <row r="1289" spans="1:16" x14ac:dyDescent="0.2">
      <c r="A1289" s="1204" t="s">
        <v>2937</v>
      </c>
      <c r="B1289" s="1205" t="s">
        <v>2334</v>
      </c>
      <c r="C1289" s="1205" t="s">
        <v>1444</v>
      </c>
      <c r="D1289" s="1206" t="s">
        <v>1651</v>
      </c>
      <c r="E1289" s="1207">
        <v>3000</v>
      </c>
      <c r="F1289" s="1208" t="s">
        <v>3769</v>
      </c>
      <c r="G1289" s="1206" t="s">
        <v>3770</v>
      </c>
      <c r="H1289" s="1206" t="s">
        <v>1651</v>
      </c>
      <c r="I1289" s="1209" t="s">
        <v>2940</v>
      </c>
      <c r="J1289" s="1206" t="s">
        <v>1651</v>
      </c>
      <c r="K1289" s="1205">
        <v>0</v>
      </c>
      <c r="L1289" s="1205">
        <v>0</v>
      </c>
      <c r="M1289" s="1207">
        <v>0</v>
      </c>
      <c r="N1289" s="1205">
        <v>1</v>
      </c>
      <c r="O1289" s="1205">
        <v>1</v>
      </c>
      <c r="P1289" s="1207">
        <v>3000</v>
      </c>
    </row>
    <row r="1290" spans="1:16" x14ac:dyDescent="0.2">
      <c r="A1290" s="1204" t="s">
        <v>2937</v>
      </c>
      <c r="B1290" s="1205" t="s">
        <v>2334</v>
      </c>
      <c r="C1290" s="1205" t="s">
        <v>1444</v>
      </c>
      <c r="D1290" s="1206" t="s">
        <v>1834</v>
      </c>
      <c r="E1290" s="1207">
        <v>6000</v>
      </c>
      <c r="F1290" s="1208" t="s">
        <v>3771</v>
      </c>
      <c r="G1290" s="1206" t="s">
        <v>3772</v>
      </c>
      <c r="H1290" s="1206" t="s">
        <v>1834</v>
      </c>
      <c r="I1290" s="1209" t="s">
        <v>2940</v>
      </c>
      <c r="J1290" s="1206" t="s">
        <v>1834</v>
      </c>
      <c r="K1290" s="1205">
        <v>1</v>
      </c>
      <c r="L1290" s="1205">
        <v>6</v>
      </c>
      <c r="M1290" s="1207">
        <v>36000</v>
      </c>
      <c r="N1290" s="1205">
        <v>1</v>
      </c>
      <c r="O1290" s="1205"/>
      <c r="P1290" s="1207">
        <v>0</v>
      </c>
    </row>
    <row r="1291" spans="1:16" ht="12.75" x14ac:dyDescent="0.2">
      <c r="A1291" s="1204" t="s">
        <v>2937</v>
      </c>
      <c r="B1291" s="1205" t="s">
        <v>2334</v>
      </c>
      <c r="C1291" s="1205" t="s">
        <v>1444</v>
      </c>
      <c r="D1291" s="1206" t="s">
        <v>2376</v>
      </c>
      <c r="E1291" s="1207">
        <v>2200</v>
      </c>
      <c r="F1291" s="1208" t="s">
        <v>3773</v>
      </c>
      <c r="G1291" s="1206" t="s">
        <v>3774</v>
      </c>
      <c r="H1291" s="1206" t="s">
        <v>2376</v>
      </c>
      <c r="I1291" s="1209" t="s">
        <v>2940</v>
      </c>
      <c r="J1291" s="1206" t="s">
        <v>2376</v>
      </c>
      <c r="K1291" s="1205">
        <v>2</v>
      </c>
      <c r="L1291" s="1205">
        <v>6</v>
      </c>
      <c r="M1291" s="1207">
        <v>13200</v>
      </c>
      <c r="N1291" s="1210">
        <v>2</v>
      </c>
      <c r="O1291" s="1210">
        <v>6</v>
      </c>
      <c r="P1291" s="1211">
        <v>13200</v>
      </c>
    </row>
    <row r="1292" spans="1:16" x14ac:dyDescent="0.2">
      <c r="A1292" s="1204" t="s">
        <v>2937</v>
      </c>
      <c r="B1292" s="1205" t="s">
        <v>2334</v>
      </c>
      <c r="C1292" s="1205" t="s">
        <v>1444</v>
      </c>
      <c r="D1292" s="1206" t="s">
        <v>2047</v>
      </c>
      <c r="E1292" s="1207">
        <v>3000</v>
      </c>
      <c r="F1292" s="1208" t="s">
        <v>3775</v>
      </c>
      <c r="G1292" s="1206" t="s">
        <v>3776</v>
      </c>
      <c r="H1292" s="1206" t="s">
        <v>2047</v>
      </c>
      <c r="I1292" s="1209" t="s">
        <v>2940</v>
      </c>
      <c r="J1292" s="1206" t="s">
        <v>2047</v>
      </c>
      <c r="K1292" s="1205">
        <v>2</v>
      </c>
      <c r="L1292" s="1205">
        <v>6</v>
      </c>
      <c r="M1292" s="1207">
        <v>18000</v>
      </c>
      <c r="N1292" s="1205">
        <v>2</v>
      </c>
      <c r="O1292" s="1205">
        <v>6</v>
      </c>
      <c r="P1292" s="1207">
        <v>18000</v>
      </c>
    </row>
    <row r="1293" spans="1:16" x14ac:dyDescent="0.2">
      <c r="A1293" s="1204" t="s">
        <v>2937</v>
      </c>
      <c r="B1293" s="1205" t="s">
        <v>2334</v>
      </c>
      <c r="C1293" s="1205" t="s">
        <v>1444</v>
      </c>
      <c r="D1293" s="1206" t="s">
        <v>3145</v>
      </c>
      <c r="E1293" s="1207">
        <v>1125</v>
      </c>
      <c r="F1293" s="1208" t="s">
        <v>3777</v>
      </c>
      <c r="G1293" s="1206" t="s">
        <v>3778</v>
      </c>
      <c r="H1293" s="1206" t="s">
        <v>3145</v>
      </c>
      <c r="I1293" s="1209" t="s">
        <v>2940</v>
      </c>
      <c r="J1293" s="1206" t="s">
        <v>3145</v>
      </c>
      <c r="K1293" s="1205">
        <v>9</v>
      </c>
      <c r="L1293" s="1205">
        <v>6</v>
      </c>
      <c r="M1293" s="1207">
        <v>6750</v>
      </c>
      <c r="N1293" s="1205">
        <v>9</v>
      </c>
      <c r="O1293" s="1205">
        <v>6</v>
      </c>
      <c r="P1293" s="1207">
        <v>6750</v>
      </c>
    </row>
    <row r="1294" spans="1:16" x14ac:dyDescent="0.2">
      <c r="A1294" s="1204" t="s">
        <v>2937</v>
      </c>
      <c r="B1294" s="1205" t="s">
        <v>2334</v>
      </c>
      <c r="C1294" s="1205" t="s">
        <v>1444</v>
      </c>
      <c r="D1294" s="1206" t="s">
        <v>1716</v>
      </c>
      <c r="E1294" s="1207">
        <v>2500</v>
      </c>
      <c r="F1294" s="1208" t="s">
        <v>3779</v>
      </c>
      <c r="G1294" s="1206" t="s">
        <v>3780</v>
      </c>
      <c r="H1294" s="1206" t="s">
        <v>1716</v>
      </c>
      <c r="I1294" s="1209" t="s">
        <v>2940</v>
      </c>
      <c r="J1294" s="1206" t="s">
        <v>1716</v>
      </c>
      <c r="K1294" s="1205">
        <v>0</v>
      </c>
      <c r="L1294" s="1205">
        <v>0</v>
      </c>
      <c r="M1294" s="1207">
        <v>0</v>
      </c>
      <c r="N1294" s="1205">
        <v>1</v>
      </c>
      <c r="O1294" s="1205">
        <v>1</v>
      </c>
      <c r="P1294" s="1207">
        <v>2500</v>
      </c>
    </row>
    <row r="1295" spans="1:16" x14ac:dyDescent="0.2">
      <c r="A1295" s="1204" t="s">
        <v>2937</v>
      </c>
      <c r="B1295" s="1205" t="s">
        <v>2334</v>
      </c>
      <c r="C1295" s="1205" t="s">
        <v>1444</v>
      </c>
      <c r="D1295" s="1206" t="s">
        <v>1651</v>
      </c>
      <c r="E1295" s="1207">
        <v>1200</v>
      </c>
      <c r="F1295" s="1208" t="s">
        <v>3781</v>
      </c>
      <c r="G1295" s="1206" t="s">
        <v>3782</v>
      </c>
      <c r="H1295" s="1206" t="s">
        <v>1651</v>
      </c>
      <c r="I1295" s="1209" t="s">
        <v>2940</v>
      </c>
      <c r="J1295" s="1206" t="s">
        <v>1651</v>
      </c>
      <c r="K1295" s="1205">
        <v>0</v>
      </c>
      <c r="L1295" s="1205">
        <v>0</v>
      </c>
      <c r="M1295" s="1207">
        <v>0</v>
      </c>
      <c r="N1295" s="1205">
        <v>1</v>
      </c>
      <c r="O1295" s="1205">
        <v>6</v>
      </c>
      <c r="P1295" s="1207">
        <v>7200</v>
      </c>
    </row>
    <row r="1296" spans="1:16" x14ac:dyDescent="0.2">
      <c r="A1296" s="1204" t="s">
        <v>2937</v>
      </c>
      <c r="B1296" s="1205" t="s">
        <v>2334</v>
      </c>
      <c r="C1296" s="1205" t="s">
        <v>1444</v>
      </c>
      <c r="D1296" s="1206" t="s">
        <v>1834</v>
      </c>
      <c r="E1296" s="1207">
        <v>6000</v>
      </c>
      <c r="F1296" s="1208" t="s">
        <v>3783</v>
      </c>
      <c r="G1296" s="1206" t="s">
        <v>3784</v>
      </c>
      <c r="H1296" s="1206" t="s">
        <v>1834</v>
      </c>
      <c r="I1296" s="1209" t="s">
        <v>2940</v>
      </c>
      <c r="J1296" s="1206" t="s">
        <v>1834</v>
      </c>
      <c r="K1296" s="1205">
        <v>2</v>
      </c>
      <c r="L1296" s="1205">
        <v>6</v>
      </c>
      <c r="M1296" s="1207">
        <v>36000</v>
      </c>
      <c r="N1296" s="1205">
        <v>2</v>
      </c>
      <c r="O1296" s="1205">
        <v>6</v>
      </c>
      <c r="P1296" s="1207">
        <v>36000</v>
      </c>
    </row>
    <row r="1297" spans="1:16" x14ac:dyDescent="0.2">
      <c r="A1297" s="1204" t="s">
        <v>2937</v>
      </c>
      <c r="B1297" s="1205" t="s">
        <v>2334</v>
      </c>
      <c r="C1297" s="1205" t="s">
        <v>1444</v>
      </c>
      <c r="D1297" s="1206" t="s">
        <v>1834</v>
      </c>
      <c r="E1297" s="1207">
        <v>6000</v>
      </c>
      <c r="F1297" s="1208" t="s">
        <v>3785</v>
      </c>
      <c r="G1297" s="1206" t="s">
        <v>3786</v>
      </c>
      <c r="H1297" s="1206" t="s">
        <v>1834</v>
      </c>
      <c r="I1297" s="1209" t="s">
        <v>2940</v>
      </c>
      <c r="J1297" s="1206" t="s">
        <v>1834</v>
      </c>
      <c r="K1297" s="1205">
        <v>1</v>
      </c>
      <c r="L1297" s="1205">
        <v>6</v>
      </c>
      <c r="M1297" s="1207">
        <v>36000</v>
      </c>
      <c r="N1297" s="1205">
        <v>1</v>
      </c>
      <c r="O1297" s="1205">
        <v>6</v>
      </c>
      <c r="P1297" s="1207">
        <v>36000</v>
      </c>
    </row>
    <row r="1298" spans="1:16" x14ac:dyDescent="0.2">
      <c r="A1298" s="1204" t="s">
        <v>2937</v>
      </c>
      <c r="B1298" s="1205" t="s">
        <v>2334</v>
      </c>
      <c r="C1298" s="1205" t="s">
        <v>1444</v>
      </c>
      <c r="D1298" s="1206" t="s">
        <v>1651</v>
      </c>
      <c r="E1298" s="1207">
        <v>1125</v>
      </c>
      <c r="F1298" s="1208" t="s">
        <v>3787</v>
      </c>
      <c r="G1298" s="1206" t="s">
        <v>3788</v>
      </c>
      <c r="H1298" s="1206" t="s">
        <v>1651</v>
      </c>
      <c r="I1298" s="1209" t="s">
        <v>2940</v>
      </c>
      <c r="J1298" s="1206" t="s">
        <v>1651</v>
      </c>
      <c r="K1298" s="1205">
        <v>1</v>
      </c>
      <c r="L1298" s="1205">
        <v>6</v>
      </c>
      <c r="M1298" s="1207">
        <v>6750</v>
      </c>
      <c r="N1298" s="1205">
        <v>1</v>
      </c>
      <c r="O1298" s="1205"/>
      <c r="P1298" s="1207">
        <v>0</v>
      </c>
    </row>
    <row r="1299" spans="1:16" x14ac:dyDescent="0.2">
      <c r="A1299" s="1204" t="s">
        <v>2937</v>
      </c>
      <c r="B1299" s="1205" t="s">
        <v>2334</v>
      </c>
      <c r="C1299" s="1205" t="s">
        <v>1444</v>
      </c>
      <c r="D1299" s="1206" t="s">
        <v>1834</v>
      </c>
      <c r="E1299" s="1207">
        <v>6000</v>
      </c>
      <c r="F1299" s="1208" t="s">
        <v>3789</v>
      </c>
      <c r="G1299" s="1206" t="s">
        <v>3790</v>
      </c>
      <c r="H1299" s="1206" t="s">
        <v>1834</v>
      </c>
      <c r="I1299" s="1209" t="s">
        <v>2940</v>
      </c>
      <c r="J1299" s="1206" t="s">
        <v>1834</v>
      </c>
      <c r="K1299" s="1205">
        <v>1</v>
      </c>
      <c r="L1299" s="1205">
        <v>6</v>
      </c>
      <c r="M1299" s="1207">
        <v>36000</v>
      </c>
      <c r="N1299" s="1205">
        <v>1</v>
      </c>
      <c r="O1299" s="1205"/>
      <c r="P1299" s="1207">
        <v>0</v>
      </c>
    </row>
    <row r="1300" spans="1:16" x14ac:dyDescent="0.2">
      <c r="A1300" s="1204" t="s">
        <v>2937</v>
      </c>
      <c r="B1300" s="1205" t="s">
        <v>2334</v>
      </c>
      <c r="C1300" s="1205" t="s">
        <v>1444</v>
      </c>
      <c r="D1300" s="1206" t="s">
        <v>2337</v>
      </c>
      <c r="E1300" s="1207">
        <v>2200</v>
      </c>
      <c r="F1300" s="1208" t="s">
        <v>3791</v>
      </c>
      <c r="G1300" s="1206" t="s">
        <v>3792</v>
      </c>
      <c r="H1300" s="1206" t="s">
        <v>2337</v>
      </c>
      <c r="I1300" s="1209" t="s">
        <v>2940</v>
      </c>
      <c r="J1300" s="1206" t="s">
        <v>2337</v>
      </c>
      <c r="K1300" s="1205">
        <v>5</v>
      </c>
      <c r="L1300" s="1205">
        <v>6</v>
      </c>
      <c r="M1300" s="1207">
        <v>13200</v>
      </c>
      <c r="N1300" s="1205">
        <v>5</v>
      </c>
      <c r="O1300" s="1205">
        <v>6</v>
      </c>
      <c r="P1300" s="1207">
        <v>13200</v>
      </c>
    </row>
    <row r="1301" spans="1:16" x14ac:dyDescent="0.2">
      <c r="A1301" s="1204" t="s">
        <v>2937</v>
      </c>
      <c r="B1301" s="1205" t="s">
        <v>2334</v>
      </c>
      <c r="C1301" s="1205" t="s">
        <v>1444</v>
      </c>
      <c r="D1301" s="1206" t="s">
        <v>1651</v>
      </c>
      <c r="E1301" s="1207">
        <v>1125</v>
      </c>
      <c r="F1301" s="1208" t="s">
        <v>3793</v>
      </c>
      <c r="G1301" s="1206" t="s">
        <v>3794</v>
      </c>
      <c r="H1301" s="1206" t="s">
        <v>1651</v>
      </c>
      <c r="I1301" s="1209" t="s">
        <v>2940</v>
      </c>
      <c r="J1301" s="1206" t="s">
        <v>1651</v>
      </c>
      <c r="K1301" s="1205">
        <v>2</v>
      </c>
      <c r="L1301" s="1205">
        <v>6</v>
      </c>
      <c r="M1301" s="1207">
        <v>6750</v>
      </c>
      <c r="N1301" s="1205">
        <v>2</v>
      </c>
      <c r="O1301" s="1205">
        <v>6</v>
      </c>
      <c r="P1301" s="1207">
        <v>6750</v>
      </c>
    </row>
    <row r="1302" spans="1:16" x14ac:dyDescent="0.2">
      <c r="A1302" s="1204" t="s">
        <v>2937</v>
      </c>
      <c r="B1302" s="1205" t="s">
        <v>2334</v>
      </c>
      <c r="C1302" s="1205" t="s">
        <v>1444</v>
      </c>
      <c r="D1302" s="1206" t="s">
        <v>2337</v>
      </c>
      <c r="E1302" s="1207">
        <v>4000</v>
      </c>
      <c r="F1302" s="1208" t="s">
        <v>3795</v>
      </c>
      <c r="G1302" s="1206" t="s">
        <v>3796</v>
      </c>
      <c r="H1302" s="1206" t="s">
        <v>2337</v>
      </c>
      <c r="I1302" s="1209" t="s">
        <v>2940</v>
      </c>
      <c r="J1302" s="1206" t="s">
        <v>2337</v>
      </c>
      <c r="K1302" s="1205">
        <v>0</v>
      </c>
      <c r="L1302" s="1205">
        <v>0</v>
      </c>
      <c r="M1302" s="1207">
        <v>0</v>
      </c>
      <c r="N1302" s="1205">
        <v>1</v>
      </c>
      <c r="O1302" s="1205">
        <v>3</v>
      </c>
      <c r="P1302" s="1207">
        <v>12000</v>
      </c>
    </row>
    <row r="1303" spans="1:16" x14ac:dyDescent="0.2">
      <c r="A1303" s="1204" t="s">
        <v>2937</v>
      </c>
      <c r="B1303" s="1205" t="s">
        <v>2334</v>
      </c>
      <c r="C1303" s="1205" t="s">
        <v>1444</v>
      </c>
      <c r="D1303" s="1206" t="s">
        <v>2337</v>
      </c>
      <c r="E1303" s="1207">
        <v>2200</v>
      </c>
      <c r="F1303" s="1208" t="s">
        <v>3797</v>
      </c>
      <c r="G1303" s="1206" t="s">
        <v>3798</v>
      </c>
      <c r="H1303" s="1206" t="s">
        <v>2337</v>
      </c>
      <c r="I1303" s="1209" t="s">
        <v>2940</v>
      </c>
      <c r="J1303" s="1206" t="s">
        <v>2337</v>
      </c>
      <c r="K1303" s="1205">
        <v>3</v>
      </c>
      <c r="L1303" s="1205">
        <v>6</v>
      </c>
      <c r="M1303" s="1207">
        <v>13200</v>
      </c>
      <c r="N1303" s="1205">
        <v>3</v>
      </c>
      <c r="O1303" s="1205">
        <v>6</v>
      </c>
      <c r="P1303" s="1207">
        <v>13200</v>
      </c>
    </row>
    <row r="1304" spans="1:16" x14ac:dyDescent="0.2">
      <c r="A1304" s="1204" t="s">
        <v>2937</v>
      </c>
      <c r="B1304" s="1205" t="s">
        <v>2334</v>
      </c>
      <c r="C1304" s="1205" t="s">
        <v>1444</v>
      </c>
      <c r="D1304" s="1206" t="s">
        <v>1651</v>
      </c>
      <c r="E1304" s="1207">
        <v>3000</v>
      </c>
      <c r="F1304" s="1208" t="s">
        <v>3799</v>
      </c>
      <c r="G1304" s="1206" t="s">
        <v>3800</v>
      </c>
      <c r="H1304" s="1206" t="s">
        <v>1651</v>
      </c>
      <c r="I1304" s="1209" t="s">
        <v>2940</v>
      </c>
      <c r="J1304" s="1206" t="s">
        <v>1651</v>
      </c>
      <c r="K1304" s="1205">
        <v>0</v>
      </c>
      <c r="L1304" s="1205">
        <v>0</v>
      </c>
      <c r="M1304" s="1207">
        <v>0</v>
      </c>
      <c r="N1304" s="1205">
        <v>1</v>
      </c>
      <c r="O1304" s="1205">
        <v>2</v>
      </c>
      <c r="P1304" s="1207">
        <v>6000</v>
      </c>
    </row>
    <row r="1305" spans="1:16" x14ac:dyDescent="0.2">
      <c r="A1305" s="1204" t="s">
        <v>2937</v>
      </c>
      <c r="B1305" s="1205" t="s">
        <v>2334</v>
      </c>
      <c r="C1305" s="1205" t="s">
        <v>1444</v>
      </c>
      <c r="D1305" s="1206" t="s">
        <v>1651</v>
      </c>
      <c r="E1305" s="1207">
        <v>1125</v>
      </c>
      <c r="F1305" s="1208" t="s">
        <v>3801</v>
      </c>
      <c r="G1305" s="1206" t="s">
        <v>3802</v>
      </c>
      <c r="H1305" s="1206" t="s">
        <v>1651</v>
      </c>
      <c r="I1305" s="1209" t="s">
        <v>2940</v>
      </c>
      <c r="J1305" s="1206" t="s">
        <v>1651</v>
      </c>
      <c r="K1305" s="1205">
        <v>2</v>
      </c>
      <c r="L1305" s="1205">
        <v>6</v>
      </c>
      <c r="M1305" s="1207">
        <v>6750</v>
      </c>
      <c r="N1305" s="1205">
        <v>2</v>
      </c>
      <c r="O1305" s="1205">
        <v>6</v>
      </c>
      <c r="P1305" s="1207">
        <v>6750</v>
      </c>
    </row>
    <row r="1306" spans="1:16" x14ac:dyDescent="0.2">
      <c r="A1306" s="1204" t="s">
        <v>2937</v>
      </c>
      <c r="B1306" s="1205" t="s">
        <v>2334</v>
      </c>
      <c r="C1306" s="1205" t="s">
        <v>1444</v>
      </c>
      <c r="D1306" s="1206" t="s">
        <v>1673</v>
      </c>
      <c r="E1306" s="1207">
        <v>4000</v>
      </c>
      <c r="F1306" s="1208" t="s">
        <v>3803</v>
      </c>
      <c r="G1306" s="1206" t="s">
        <v>3804</v>
      </c>
      <c r="H1306" s="1206" t="s">
        <v>1673</v>
      </c>
      <c r="I1306" s="1209" t="s">
        <v>2940</v>
      </c>
      <c r="J1306" s="1206" t="s">
        <v>1673</v>
      </c>
      <c r="K1306" s="1205">
        <v>0</v>
      </c>
      <c r="L1306" s="1205">
        <v>0</v>
      </c>
      <c r="M1306" s="1207">
        <v>0</v>
      </c>
      <c r="N1306" s="1205">
        <v>1</v>
      </c>
      <c r="O1306" s="1205">
        <v>1</v>
      </c>
      <c r="P1306" s="1207">
        <v>4000</v>
      </c>
    </row>
    <row r="1307" spans="1:16" x14ac:dyDescent="0.2">
      <c r="A1307" s="1204" t="s">
        <v>2937</v>
      </c>
      <c r="B1307" s="1205" t="s">
        <v>2334</v>
      </c>
      <c r="C1307" s="1205" t="s">
        <v>1444</v>
      </c>
      <c r="D1307" s="1206" t="s">
        <v>1651</v>
      </c>
      <c r="E1307" s="1207">
        <v>1200</v>
      </c>
      <c r="F1307" s="1208" t="s">
        <v>3805</v>
      </c>
      <c r="G1307" s="1206" t="s">
        <v>3806</v>
      </c>
      <c r="H1307" s="1206" t="s">
        <v>1651</v>
      </c>
      <c r="I1307" s="1209" t="s">
        <v>2940</v>
      </c>
      <c r="J1307" s="1206" t="s">
        <v>1651</v>
      </c>
      <c r="K1307" s="1205">
        <v>3</v>
      </c>
      <c r="L1307" s="1205">
        <v>6</v>
      </c>
      <c r="M1307" s="1207">
        <v>7200</v>
      </c>
      <c r="N1307" s="1205">
        <v>3</v>
      </c>
      <c r="O1307" s="1205">
        <v>6</v>
      </c>
      <c r="P1307" s="1207">
        <v>7200</v>
      </c>
    </row>
    <row r="1308" spans="1:16" ht="12.75" x14ac:dyDescent="0.2">
      <c r="A1308" s="1204" t="s">
        <v>2937</v>
      </c>
      <c r="B1308" s="1205" t="s">
        <v>2334</v>
      </c>
      <c r="C1308" s="1205" t="s">
        <v>1444</v>
      </c>
      <c r="D1308" s="1206" t="s">
        <v>613</v>
      </c>
      <c r="E1308" s="1207">
        <v>2000</v>
      </c>
      <c r="F1308" s="1208" t="s">
        <v>3807</v>
      </c>
      <c r="G1308" s="1206" t="s">
        <v>3808</v>
      </c>
      <c r="H1308" s="1206" t="s">
        <v>613</v>
      </c>
      <c r="I1308" s="1209" t="s">
        <v>2940</v>
      </c>
      <c r="J1308" s="1206" t="s">
        <v>613</v>
      </c>
      <c r="K1308" s="1205">
        <v>2</v>
      </c>
      <c r="L1308" s="1205">
        <v>6</v>
      </c>
      <c r="M1308" s="1207">
        <v>12000</v>
      </c>
      <c r="N1308" s="1210">
        <v>2</v>
      </c>
      <c r="O1308" s="1210">
        <v>6</v>
      </c>
      <c r="P1308" s="1211">
        <v>12000</v>
      </c>
    </row>
    <row r="1309" spans="1:16" x14ac:dyDescent="0.2">
      <c r="A1309" s="1204" t="s">
        <v>2937</v>
      </c>
      <c r="B1309" s="1205" t="s">
        <v>2334</v>
      </c>
      <c r="C1309" s="1205" t="s">
        <v>1444</v>
      </c>
      <c r="D1309" s="1206" t="s">
        <v>1834</v>
      </c>
      <c r="E1309" s="1207">
        <v>8000</v>
      </c>
      <c r="F1309" s="1208" t="s">
        <v>3809</v>
      </c>
      <c r="G1309" s="1206" t="s">
        <v>3810</v>
      </c>
      <c r="H1309" s="1206" t="s">
        <v>1834</v>
      </c>
      <c r="I1309" s="1209" t="s">
        <v>2940</v>
      </c>
      <c r="J1309" s="1206" t="s">
        <v>1834</v>
      </c>
      <c r="K1309" s="1205">
        <v>0</v>
      </c>
      <c r="L1309" s="1205">
        <v>0</v>
      </c>
      <c r="M1309" s="1207">
        <v>0</v>
      </c>
      <c r="N1309" s="1205">
        <v>1</v>
      </c>
      <c r="O1309" s="1205">
        <v>1</v>
      </c>
      <c r="P1309" s="1207">
        <v>8000</v>
      </c>
    </row>
    <row r="1310" spans="1:16" x14ac:dyDescent="0.2">
      <c r="A1310" s="1204" t="s">
        <v>2937</v>
      </c>
      <c r="B1310" s="1205" t="s">
        <v>2334</v>
      </c>
      <c r="C1310" s="1205" t="s">
        <v>1444</v>
      </c>
      <c r="D1310" s="1206" t="s">
        <v>2792</v>
      </c>
      <c r="E1310" s="1207">
        <v>2000</v>
      </c>
      <c r="F1310" s="1208" t="s">
        <v>3811</v>
      </c>
      <c r="G1310" s="1206" t="s">
        <v>3812</v>
      </c>
      <c r="H1310" s="1206" t="s">
        <v>2792</v>
      </c>
      <c r="I1310" s="1209" t="s">
        <v>2940</v>
      </c>
      <c r="J1310" s="1206" t="s">
        <v>2792</v>
      </c>
      <c r="K1310" s="1205">
        <v>0</v>
      </c>
      <c r="L1310" s="1205">
        <v>0</v>
      </c>
      <c r="M1310" s="1207">
        <v>0</v>
      </c>
      <c r="N1310" s="1205">
        <v>1</v>
      </c>
      <c r="O1310" s="1205">
        <v>3</v>
      </c>
      <c r="P1310" s="1207">
        <v>6000</v>
      </c>
    </row>
    <row r="1311" spans="1:16" x14ac:dyDescent="0.2">
      <c r="A1311" s="1204" t="s">
        <v>2937</v>
      </c>
      <c r="B1311" s="1205" t="s">
        <v>2334</v>
      </c>
      <c r="C1311" s="1205" t="s">
        <v>1444</v>
      </c>
      <c r="D1311" s="1206" t="s">
        <v>1651</v>
      </c>
      <c r="E1311" s="1207">
        <v>1125</v>
      </c>
      <c r="F1311" s="1208" t="s">
        <v>3813</v>
      </c>
      <c r="G1311" s="1206" t="s">
        <v>3814</v>
      </c>
      <c r="H1311" s="1206" t="s">
        <v>1651</v>
      </c>
      <c r="I1311" s="1209" t="s">
        <v>2940</v>
      </c>
      <c r="J1311" s="1206" t="s">
        <v>1651</v>
      </c>
      <c r="K1311" s="1205">
        <v>1</v>
      </c>
      <c r="L1311" s="1205">
        <v>6</v>
      </c>
      <c r="M1311" s="1207">
        <v>6750</v>
      </c>
      <c r="N1311" s="1205">
        <v>1</v>
      </c>
      <c r="O1311" s="1205"/>
      <c r="P1311" s="1207">
        <v>0</v>
      </c>
    </row>
    <row r="1312" spans="1:16" ht="12.75" x14ac:dyDescent="0.2">
      <c r="A1312" s="1204" t="s">
        <v>2937</v>
      </c>
      <c r="B1312" s="1205" t="s">
        <v>2334</v>
      </c>
      <c r="C1312" s="1205" t="s">
        <v>1444</v>
      </c>
      <c r="D1312" s="1206" t="s">
        <v>2337</v>
      </c>
      <c r="E1312" s="1207">
        <v>2200</v>
      </c>
      <c r="F1312" s="1208" t="s">
        <v>3815</v>
      </c>
      <c r="G1312" s="1206" t="s">
        <v>3816</v>
      </c>
      <c r="H1312" s="1206" t="s">
        <v>2337</v>
      </c>
      <c r="I1312" s="1209" t="s">
        <v>2940</v>
      </c>
      <c r="J1312" s="1206" t="s">
        <v>2337</v>
      </c>
      <c r="K1312" s="1205">
        <v>2</v>
      </c>
      <c r="L1312" s="1205">
        <v>6</v>
      </c>
      <c r="M1312" s="1207">
        <v>13200</v>
      </c>
      <c r="N1312" s="1210">
        <v>2</v>
      </c>
      <c r="O1312" s="1210">
        <v>6</v>
      </c>
      <c r="P1312" s="1211">
        <v>13200</v>
      </c>
    </row>
    <row r="1313" spans="1:16" x14ac:dyDescent="0.2">
      <c r="A1313" s="1204" t="s">
        <v>2937</v>
      </c>
      <c r="B1313" s="1205" t="s">
        <v>2334</v>
      </c>
      <c r="C1313" s="1205" t="s">
        <v>1444</v>
      </c>
      <c r="D1313" s="1206" t="s">
        <v>1834</v>
      </c>
      <c r="E1313" s="1207">
        <v>8000</v>
      </c>
      <c r="F1313" s="1208" t="s">
        <v>3817</v>
      </c>
      <c r="G1313" s="1206" t="s">
        <v>3818</v>
      </c>
      <c r="H1313" s="1206" t="s">
        <v>1834</v>
      </c>
      <c r="I1313" s="1209" t="s">
        <v>2940</v>
      </c>
      <c r="J1313" s="1206" t="s">
        <v>1834</v>
      </c>
      <c r="K1313" s="1205">
        <v>0</v>
      </c>
      <c r="L1313" s="1205">
        <v>0</v>
      </c>
      <c r="M1313" s="1207">
        <v>0</v>
      </c>
      <c r="N1313" s="1205">
        <v>1</v>
      </c>
      <c r="O1313" s="1205">
        <v>1</v>
      </c>
      <c r="P1313" s="1207">
        <v>8000</v>
      </c>
    </row>
    <row r="1314" spans="1:16" x14ac:dyDescent="0.2">
      <c r="A1314" s="1204" t="s">
        <v>2937</v>
      </c>
      <c r="B1314" s="1205" t="s">
        <v>2334</v>
      </c>
      <c r="C1314" s="1205" t="s">
        <v>1444</v>
      </c>
      <c r="D1314" s="1206" t="s">
        <v>1834</v>
      </c>
      <c r="E1314" s="1207">
        <v>6000</v>
      </c>
      <c r="F1314" s="1208" t="s">
        <v>3819</v>
      </c>
      <c r="G1314" s="1206" t="s">
        <v>3820</v>
      </c>
      <c r="H1314" s="1206" t="s">
        <v>1834</v>
      </c>
      <c r="I1314" s="1209" t="s">
        <v>2940</v>
      </c>
      <c r="J1314" s="1206" t="s">
        <v>1834</v>
      </c>
      <c r="K1314" s="1205">
        <v>3</v>
      </c>
      <c r="L1314" s="1205">
        <v>6</v>
      </c>
      <c r="M1314" s="1207">
        <v>36000</v>
      </c>
      <c r="N1314" s="1205">
        <v>3</v>
      </c>
      <c r="O1314" s="1205">
        <v>6</v>
      </c>
      <c r="P1314" s="1207">
        <v>36000</v>
      </c>
    </row>
    <row r="1315" spans="1:16" x14ac:dyDescent="0.2">
      <c r="A1315" s="1204" t="s">
        <v>2937</v>
      </c>
      <c r="B1315" s="1205" t="s">
        <v>2334</v>
      </c>
      <c r="C1315" s="1205" t="s">
        <v>1444</v>
      </c>
      <c r="D1315" s="1206" t="s">
        <v>1834</v>
      </c>
      <c r="E1315" s="1207">
        <v>6000</v>
      </c>
      <c r="F1315" s="1208" t="s">
        <v>3821</v>
      </c>
      <c r="G1315" s="1206" t="s">
        <v>3822</v>
      </c>
      <c r="H1315" s="1206" t="s">
        <v>1834</v>
      </c>
      <c r="I1315" s="1209" t="s">
        <v>2940</v>
      </c>
      <c r="J1315" s="1206" t="s">
        <v>1834</v>
      </c>
      <c r="K1315" s="1205">
        <v>2</v>
      </c>
      <c r="L1315" s="1205">
        <v>6</v>
      </c>
      <c r="M1315" s="1207">
        <v>36000</v>
      </c>
      <c r="N1315" s="1205">
        <v>2</v>
      </c>
      <c r="O1315" s="1205">
        <v>6</v>
      </c>
      <c r="P1315" s="1207">
        <v>36000</v>
      </c>
    </row>
    <row r="1316" spans="1:16" x14ac:dyDescent="0.2">
      <c r="A1316" s="1204" t="s">
        <v>2937</v>
      </c>
      <c r="B1316" s="1205" t="s">
        <v>2334</v>
      </c>
      <c r="C1316" s="1205" t="s">
        <v>1444</v>
      </c>
      <c r="D1316" s="1206" t="s">
        <v>2337</v>
      </c>
      <c r="E1316" s="1207">
        <v>4000</v>
      </c>
      <c r="F1316" s="1208" t="s">
        <v>3823</v>
      </c>
      <c r="G1316" s="1206" t="s">
        <v>3824</v>
      </c>
      <c r="H1316" s="1206" t="s">
        <v>2337</v>
      </c>
      <c r="I1316" s="1209" t="s">
        <v>2940</v>
      </c>
      <c r="J1316" s="1206" t="s">
        <v>2337</v>
      </c>
      <c r="K1316" s="1205">
        <v>0</v>
      </c>
      <c r="L1316" s="1205">
        <v>0</v>
      </c>
      <c r="M1316" s="1207">
        <v>0</v>
      </c>
      <c r="N1316" s="1205">
        <v>1</v>
      </c>
      <c r="O1316" s="1205">
        <v>3</v>
      </c>
      <c r="P1316" s="1207">
        <v>12000</v>
      </c>
    </row>
    <row r="1317" spans="1:16" x14ac:dyDescent="0.2">
      <c r="A1317" s="1204" t="s">
        <v>2937</v>
      </c>
      <c r="B1317" s="1205" t="s">
        <v>2334</v>
      </c>
      <c r="C1317" s="1205" t="s">
        <v>1444</v>
      </c>
      <c r="D1317" s="1206" t="s">
        <v>1834</v>
      </c>
      <c r="E1317" s="1207">
        <v>6000</v>
      </c>
      <c r="F1317" s="1208" t="s">
        <v>3825</v>
      </c>
      <c r="G1317" s="1206" t="s">
        <v>3826</v>
      </c>
      <c r="H1317" s="1206" t="s">
        <v>1834</v>
      </c>
      <c r="I1317" s="1209" t="s">
        <v>2940</v>
      </c>
      <c r="J1317" s="1206" t="s">
        <v>1834</v>
      </c>
      <c r="K1317" s="1205">
        <v>1</v>
      </c>
      <c r="L1317" s="1205">
        <v>6</v>
      </c>
      <c r="M1317" s="1207">
        <v>36000</v>
      </c>
      <c r="N1317" s="1205">
        <v>1</v>
      </c>
      <c r="O1317" s="1205"/>
      <c r="P1317" s="1207">
        <v>0</v>
      </c>
    </row>
    <row r="1318" spans="1:16" x14ac:dyDescent="0.2">
      <c r="A1318" s="1204" t="s">
        <v>2937</v>
      </c>
      <c r="B1318" s="1205" t="s">
        <v>2334</v>
      </c>
      <c r="C1318" s="1205" t="s">
        <v>1444</v>
      </c>
      <c r="D1318" s="1206" t="s">
        <v>2337</v>
      </c>
      <c r="E1318" s="1207">
        <v>2200</v>
      </c>
      <c r="F1318" s="1208" t="s">
        <v>3827</v>
      </c>
      <c r="G1318" s="1206" t="s">
        <v>3828</v>
      </c>
      <c r="H1318" s="1206" t="s">
        <v>2337</v>
      </c>
      <c r="I1318" s="1209" t="s">
        <v>2940</v>
      </c>
      <c r="J1318" s="1206" t="s">
        <v>2337</v>
      </c>
      <c r="K1318" s="1205">
        <v>1</v>
      </c>
      <c r="L1318" s="1205">
        <v>6</v>
      </c>
      <c r="M1318" s="1207">
        <v>13200</v>
      </c>
      <c r="N1318" s="1205">
        <v>1</v>
      </c>
      <c r="O1318" s="1205">
        <v>6</v>
      </c>
      <c r="P1318" s="1207">
        <v>13200</v>
      </c>
    </row>
    <row r="1319" spans="1:16" x14ac:dyDescent="0.2">
      <c r="A1319" s="1204" t="s">
        <v>2937</v>
      </c>
      <c r="B1319" s="1205" t="s">
        <v>2334</v>
      </c>
      <c r="C1319" s="1205" t="s">
        <v>1444</v>
      </c>
      <c r="D1319" s="1206" t="s">
        <v>1834</v>
      </c>
      <c r="E1319" s="1207">
        <v>8000</v>
      </c>
      <c r="F1319" s="1208" t="s">
        <v>3829</v>
      </c>
      <c r="G1319" s="1206" t="s">
        <v>3830</v>
      </c>
      <c r="H1319" s="1206" t="s">
        <v>1834</v>
      </c>
      <c r="I1319" s="1209" t="s">
        <v>2940</v>
      </c>
      <c r="J1319" s="1206" t="s">
        <v>1834</v>
      </c>
      <c r="K1319" s="1205">
        <v>0</v>
      </c>
      <c r="L1319" s="1205">
        <v>0</v>
      </c>
      <c r="M1319" s="1207">
        <v>0</v>
      </c>
      <c r="N1319" s="1205">
        <v>1</v>
      </c>
      <c r="O1319" s="1205">
        <v>1</v>
      </c>
      <c r="P1319" s="1207">
        <v>8000</v>
      </c>
    </row>
    <row r="1320" spans="1:16" x14ac:dyDescent="0.2">
      <c r="A1320" s="1204" t="s">
        <v>2937</v>
      </c>
      <c r="B1320" s="1205" t="s">
        <v>2334</v>
      </c>
      <c r="C1320" s="1205" t="s">
        <v>1444</v>
      </c>
      <c r="D1320" s="1206" t="s">
        <v>613</v>
      </c>
      <c r="E1320" s="1207">
        <v>1125</v>
      </c>
      <c r="F1320" s="1208" t="s">
        <v>3831</v>
      </c>
      <c r="G1320" s="1206" t="s">
        <v>3832</v>
      </c>
      <c r="H1320" s="1206" t="s">
        <v>613</v>
      </c>
      <c r="I1320" s="1209" t="s">
        <v>2940</v>
      </c>
      <c r="J1320" s="1206" t="s">
        <v>613</v>
      </c>
      <c r="K1320" s="1205">
        <v>10</v>
      </c>
      <c r="L1320" s="1205">
        <v>6</v>
      </c>
      <c r="M1320" s="1207">
        <v>6750</v>
      </c>
      <c r="N1320" s="1205">
        <v>10</v>
      </c>
      <c r="O1320" s="1205">
        <v>6</v>
      </c>
      <c r="P1320" s="1207">
        <v>6750</v>
      </c>
    </row>
    <row r="1321" spans="1:16" x14ac:dyDescent="0.2">
      <c r="A1321" s="1204" t="s">
        <v>2937</v>
      </c>
      <c r="B1321" s="1205" t="s">
        <v>2334</v>
      </c>
      <c r="C1321" s="1205" t="s">
        <v>1444</v>
      </c>
      <c r="D1321" s="1206" t="s">
        <v>1716</v>
      </c>
      <c r="E1321" s="1207">
        <v>2500</v>
      </c>
      <c r="F1321" s="1208" t="s">
        <v>3833</v>
      </c>
      <c r="G1321" s="1206" t="s">
        <v>3834</v>
      </c>
      <c r="H1321" s="1206" t="s">
        <v>1716</v>
      </c>
      <c r="I1321" s="1209" t="s">
        <v>2940</v>
      </c>
      <c r="J1321" s="1206" t="s">
        <v>1716</v>
      </c>
      <c r="K1321" s="1205">
        <v>0</v>
      </c>
      <c r="L1321" s="1205">
        <v>0</v>
      </c>
      <c r="M1321" s="1207">
        <v>0</v>
      </c>
      <c r="N1321" s="1205">
        <v>1</v>
      </c>
      <c r="O1321" s="1205">
        <v>1</v>
      </c>
      <c r="P1321" s="1207">
        <v>2500</v>
      </c>
    </row>
    <row r="1322" spans="1:16" x14ac:dyDescent="0.2">
      <c r="A1322" s="1204" t="s">
        <v>2937</v>
      </c>
      <c r="B1322" s="1205" t="s">
        <v>2334</v>
      </c>
      <c r="C1322" s="1205" t="s">
        <v>1444</v>
      </c>
      <c r="D1322" s="1206" t="s">
        <v>2337</v>
      </c>
      <c r="E1322" s="1207">
        <v>2200</v>
      </c>
      <c r="F1322" s="1208" t="s">
        <v>3835</v>
      </c>
      <c r="G1322" s="1206" t="s">
        <v>3836</v>
      </c>
      <c r="H1322" s="1206" t="s">
        <v>2337</v>
      </c>
      <c r="I1322" s="1209" t="s">
        <v>2940</v>
      </c>
      <c r="J1322" s="1206" t="s">
        <v>2337</v>
      </c>
      <c r="K1322" s="1205">
        <v>1</v>
      </c>
      <c r="L1322" s="1205">
        <v>6</v>
      </c>
      <c r="M1322" s="1207">
        <v>13200</v>
      </c>
      <c r="N1322" s="1205">
        <v>1</v>
      </c>
      <c r="O1322" s="1205"/>
      <c r="P1322" s="1207">
        <v>0</v>
      </c>
    </row>
    <row r="1323" spans="1:16" x14ac:dyDescent="0.2">
      <c r="A1323" s="1204" t="s">
        <v>2937</v>
      </c>
      <c r="B1323" s="1205" t="s">
        <v>2334</v>
      </c>
      <c r="C1323" s="1205" t="s">
        <v>1444</v>
      </c>
      <c r="D1323" s="1206" t="s">
        <v>2337</v>
      </c>
      <c r="E1323" s="1207">
        <v>2200</v>
      </c>
      <c r="F1323" s="1208" t="s">
        <v>3837</v>
      </c>
      <c r="G1323" s="1206" t="s">
        <v>3838</v>
      </c>
      <c r="H1323" s="1206" t="s">
        <v>2337</v>
      </c>
      <c r="I1323" s="1209" t="s">
        <v>2940</v>
      </c>
      <c r="J1323" s="1206" t="s">
        <v>2337</v>
      </c>
      <c r="K1323" s="1205">
        <v>0</v>
      </c>
      <c r="L1323" s="1205">
        <v>0</v>
      </c>
      <c r="M1323" s="1207">
        <v>0</v>
      </c>
      <c r="N1323" s="1205">
        <v>1</v>
      </c>
      <c r="O1323" s="1205">
        <v>6</v>
      </c>
      <c r="P1323" s="1207">
        <v>13200</v>
      </c>
    </row>
    <row r="1324" spans="1:16" x14ac:dyDescent="0.2">
      <c r="A1324" s="1204" t="s">
        <v>2937</v>
      </c>
      <c r="B1324" s="1205" t="s">
        <v>2334</v>
      </c>
      <c r="C1324" s="1205" t="s">
        <v>1444</v>
      </c>
      <c r="D1324" s="1206" t="s">
        <v>1834</v>
      </c>
      <c r="E1324" s="1207">
        <v>6000</v>
      </c>
      <c r="F1324" s="1208" t="s">
        <v>3839</v>
      </c>
      <c r="G1324" s="1206" t="s">
        <v>3840</v>
      </c>
      <c r="H1324" s="1206" t="s">
        <v>1834</v>
      </c>
      <c r="I1324" s="1209" t="s">
        <v>2940</v>
      </c>
      <c r="J1324" s="1206" t="s">
        <v>1834</v>
      </c>
      <c r="K1324" s="1205">
        <v>3</v>
      </c>
      <c r="L1324" s="1205">
        <v>6</v>
      </c>
      <c r="M1324" s="1207">
        <v>36000</v>
      </c>
      <c r="N1324" s="1205">
        <v>3</v>
      </c>
      <c r="O1324" s="1205">
        <v>6</v>
      </c>
      <c r="P1324" s="1207">
        <v>36000</v>
      </c>
    </row>
    <row r="1325" spans="1:16" x14ac:dyDescent="0.2">
      <c r="A1325" s="1204" t="s">
        <v>2937</v>
      </c>
      <c r="B1325" s="1205" t="s">
        <v>2334</v>
      </c>
      <c r="C1325" s="1205" t="s">
        <v>1444</v>
      </c>
      <c r="D1325" s="1206" t="s">
        <v>613</v>
      </c>
      <c r="E1325" s="1207">
        <v>1060</v>
      </c>
      <c r="F1325" s="1208" t="s">
        <v>3841</v>
      </c>
      <c r="G1325" s="1206" t="s">
        <v>3842</v>
      </c>
      <c r="H1325" s="1206" t="s">
        <v>613</v>
      </c>
      <c r="I1325" s="1209" t="s">
        <v>2940</v>
      </c>
      <c r="J1325" s="1206" t="s">
        <v>613</v>
      </c>
      <c r="K1325" s="1205">
        <v>10</v>
      </c>
      <c r="L1325" s="1205">
        <v>6</v>
      </c>
      <c r="M1325" s="1207">
        <v>6360</v>
      </c>
      <c r="N1325" s="1205">
        <v>10</v>
      </c>
      <c r="O1325" s="1205">
        <v>6</v>
      </c>
      <c r="P1325" s="1207">
        <v>6360</v>
      </c>
    </row>
    <row r="1326" spans="1:16" x14ac:dyDescent="0.2">
      <c r="A1326" s="1204" t="s">
        <v>2937</v>
      </c>
      <c r="B1326" s="1205" t="s">
        <v>2334</v>
      </c>
      <c r="C1326" s="1205" t="s">
        <v>1444</v>
      </c>
      <c r="D1326" s="1206" t="s">
        <v>1651</v>
      </c>
      <c r="E1326" s="1207">
        <v>1125</v>
      </c>
      <c r="F1326" s="1208" t="s">
        <v>3843</v>
      </c>
      <c r="G1326" s="1206" t="s">
        <v>3844</v>
      </c>
      <c r="H1326" s="1206" t="s">
        <v>1651</v>
      </c>
      <c r="I1326" s="1209" t="s">
        <v>2940</v>
      </c>
      <c r="J1326" s="1206" t="s">
        <v>1651</v>
      </c>
      <c r="K1326" s="1205">
        <v>0</v>
      </c>
      <c r="L1326" s="1205">
        <v>0</v>
      </c>
      <c r="M1326" s="1207">
        <v>0</v>
      </c>
      <c r="N1326" s="1205">
        <v>1</v>
      </c>
      <c r="O1326" s="1205">
        <v>6</v>
      </c>
      <c r="P1326" s="1207">
        <v>6750</v>
      </c>
    </row>
    <row r="1327" spans="1:16" x14ac:dyDescent="0.2">
      <c r="A1327" s="1204" t="s">
        <v>2937</v>
      </c>
      <c r="B1327" s="1205" t="s">
        <v>2334</v>
      </c>
      <c r="C1327" s="1205" t="s">
        <v>1444</v>
      </c>
      <c r="D1327" s="1206" t="s">
        <v>3845</v>
      </c>
      <c r="E1327" s="1207">
        <v>3500</v>
      </c>
      <c r="F1327" s="1208" t="s">
        <v>3846</v>
      </c>
      <c r="G1327" s="1206" t="s">
        <v>3847</v>
      </c>
      <c r="H1327" s="1206" t="s">
        <v>3845</v>
      </c>
      <c r="I1327" s="1209" t="s">
        <v>2940</v>
      </c>
      <c r="J1327" s="1206" t="s">
        <v>3845</v>
      </c>
      <c r="K1327" s="1205">
        <v>2</v>
      </c>
      <c r="L1327" s="1205">
        <v>6</v>
      </c>
      <c r="M1327" s="1207">
        <v>21000</v>
      </c>
      <c r="N1327" s="1205">
        <v>2</v>
      </c>
      <c r="O1327" s="1205">
        <v>6</v>
      </c>
      <c r="P1327" s="1207">
        <v>21000</v>
      </c>
    </row>
    <row r="1328" spans="1:16" x14ac:dyDescent="0.2">
      <c r="A1328" s="1204" t="s">
        <v>2937</v>
      </c>
      <c r="B1328" s="1205" t="s">
        <v>2334</v>
      </c>
      <c r="C1328" s="1205" t="s">
        <v>1444</v>
      </c>
      <c r="D1328" s="1206" t="s">
        <v>1651</v>
      </c>
      <c r="E1328" s="1207">
        <v>1200</v>
      </c>
      <c r="F1328" s="1208" t="s">
        <v>3848</v>
      </c>
      <c r="G1328" s="1206" t="s">
        <v>3849</v>
      </c>
      <c r="H1328" s="1206" t="s">
        <v>1651</v>
      </c>
      <c r="I1328" s="1209" t="s">
        <v>2940</v>
      </c>
      <c r="J1328" s="1206" t="s">
        <v>1651</v>
      </c>
      <c r="K1328" s="1205">
        <v>3</v>
      </c>
      <c r="L1328" s="1205">
        <v>6</v>
      </c>
      <c r="M1328" s="1207">
        <v>7200</v>
      </c>
      <c r="N1328" s="1205">
        <v>3</v>
      </c>
      <c r="O1328" s="1205">
        <v>6</v>
      </c>
      <c r="P1328" s="1207">
        <v>7200</v>
      </c>
    </row>
    <row r="1329" spans="1:16" x14ac:dyDescent="0.2">
      <c r="A1329" s="1204" t="s">
        <v>2937</v>
      </c>
      <c r="B1329" s="1205" t="s">
        <v>2334</v>
      </c>
      <c r="C1329" s="1205" t="s">
        <v>1444</v>
      </c>
      <c r="D1329" s="1206" t="s">
        <v>1651</v>
      </c>
      <c r="E1329" s="1207">
        <v>1125</v>
      </c>
      <c r="F1329" s="1208" t="s">
        <v>3850</v>
      </c>
      <c r="G1329" s="1206" t="s">
        <v>3851</v>
      </c>
      <c r="H1329" s="1206" t="s">
        <v>1651</v>
      </c>
      <c r="I1329" s="1209" t="s">
        <v>2940</v>
      </c>
      <c r="J1329" s="1206" t="s">
        <v>1651</v>
      </c>
      <c r="K1329" s="1205">
        <v>2</v>
      </c>
      <c r="L1329" s="1205">
        <v>6</v>
      </c>
      <c r="M1329" s="1207">
        <v>6750</v>
      </c>
      <c r="N1329" s="1205">
        <v>2</v>
      </c>
      <c r="O1329" s="1205">
        <v>6</v>
      </c>
      <c r="P1329" s="1207">
        <v>6750</v>
      </c>
    </row>
    <row r="1330" spans="1:16" ht="12.75" x14ac:dyDescent="0.2">
      <c r="A1330" s="1204" t="s">
        <v>2937</v>
      </c>
      <c r="B1330" s="1205" t="s">
        <v>2334</v>
      </c>
      <c r="C1330" s="1205" t="s">
        <v>1444</v>
      </c>
      <c r="D1330" s="1206" t="s">
        <v>904</v>
      </c>
      <c r="E1330" s="1207">
        <v>1500</v>
      </c>
      <c r="F1330" s="1208" t="s">
        <v>3852</v>
      </c>
      <c r="G1330" s="1206" t="s">
        <v>3853</v>
      </c>
      <c r="H1330" s="1206" t="s">
        <v>904</v>
      </c>
      <c r="I1330" s="1209" t="s">
        <v>2940</v>
      </c>
      <c r="J1330" s="1206" t="s">
        <v>904</v>
      </c>
      <c r="K1330" s="1205">
        <v>2</v>
      </c>
      <c r="L1330" s="1205">
        <v>6</v>
      </c>
      <c r="M1330" s="1207">
        <v>9000</v>
      </c>
      <c r="N1330" s="1210">
        <v>2</v>
      </c>
      <c r="O1330" s="1210">
        <v>6</v>
      </c>
      <c r="P1330" s="1211">
        <v>9000</v>
      </c>
    </row>
    <row r="1331" spans="1:16" x14ac:dyDescent="0.2">
      <c r="A1331" s="1204" t="s">
        <v>2937</v>
      </c>
      <c r="B1331" s="1205" t="s">
        <v>2334</v>
      </c>
      <c r="C1331" s="1205" t="s">
        <v>1444</v>
      </c>
      <c r="D1331" s="1206" t="s">
        <v>1651</v>
      </c>
      <c r="E1331" s="1207">
        <v>1125</v>
      </c>
      <c r="F1331" s="1208" t="s">
        <v>3854</v>
      </c>
      <c r="G1331" s="1206" t="s">
        <v>3855</v>
      </c>
      <c r="H1331" s="1206" t="s">
        <v>1651</v>
      </c>
      <c r="I1331" s="1209" t="s">
        <v>2940</v>
      </c>
      <c r="J1331" s="1206" t="s">
        <v>1651</v>
      </c>
      <c r="K1331" s="1205">
        <v>7</v>
      </c>
      <c r="L1331" s="1205">
        <v>6</v>
      </c>
      <c r="M1331" s="1207">
        <v>6750</v>
      </c>
      <c r="N1331" s="1205">
        <v>7</v>
      </c>
      <c r="O1331" s="1205">
        <v>6</v>
      </c>
      <c r="P1331" s="1207">
        <v>6750</v>
      </c>
    </row>
    <row r="1332" spans="1:16" ht="12.75" x14ac:dyDescent="0.2">
      <c r="A1332" s="1204" t="s">
        <v>2937</v>
      </c>
      <c r="B1332" s="1205" t="s">
        <v>2334</v>
      </c>
      <c r="C1332" s="1205" t="s">
        <v>1444</v>
      </c>
      <c r="D1332" s="1206" t="s">
        <v>1716</v>
      </c>
      <c r="E1332" s="1207">
        <v>1800</v>
      </c>
      <c r="F1332" s="1208" t="s">
        <v>3856</v>
      </c>
      <c r="G1332" s="1206" t="s">
        <v>3857</v>
      </c>
      <c r="H1332" s="1206" t="s">
        <v>1716</v>
      </c>
      <c r="I1332" s="1209" t="s">
        <v>2940</v>
      </c>
      <c r="J1332" s="1206" t="s">
        <v>1716</v>
      </c>
      <c r="K1332" s="1205">
        <v>2</v>
      </c>
      <c r="L1332" s="1205">
        <v>6</v>
      </c>
      <c r="M1332" s="1207">
        <v>10800</v>
      </c>
      <c r="N1332" s="1210">
        <v>2</v>
      </c>
      <c r="O1332" s="1210">
        <v>6</v>
      </c>
      <c r="P1332" s="1211">
        <v>10800</v>
      </c>
    </row>
    <row r="1333" spans="1:16" x14ac:dyDescent="0.2">
      <c r="A1333" s="1204" t="s">
        <v>2937</v>
      </c>
      <c r="B1333" s="1205" t="s">
        <v>2334</v>
      </c>
      <c r="C1333" s="1205" t="s">
        <v>1444</v>
      </c>
      <c r="D1333" s="1206" t="s">
        <v>2337</v>
      </c>
      <c r="E1333" s="1207">
        <v>2200</v>
      </c>
      <c r="F1333" s="1208" t="s">
        <v>3858</v>
      </c>
      <c r="G1333" s="1206" t="s">
        <v>3859</v>
      </c>
      <c r="H1333" s="1206" t="s">
        <v>2337</v>
      </c>
      <c r="I1333" s="1209" t="s">
        <v>2940</v>
      </c>
      <c r="J1333" s="1206" t="s">
        <v>2337</v>
      </c>
      <c r="K1333" s="1205">
        <v>1</v>
      </c>
      <c r="L1333" s="1205">
        <v>6</v>
      </c>
      <c r="M1333" s="1207">
        <v>13200</v>
      </c>
      <c r="N1333" s="1205">
        <v>1</v>
      </c>
      <c r="O1333" s="1205"/>
      <c r="P1333" s="1207">
        <v>0</v>
      </c>
    </row>
    <row r="1334" spans="1:16" x14ac:dyDescent="0.2">
      <c r="A1334" s="1204" t="s">
        <v>2937</v>
      </c>
      <c r="B1334" s="1205" t="s">
        <v>2334</v>
      </c>
      <c r="C1334" s="1205" t="s">
        <v>1444</v>
      </c>
      <c r="D1334" s="1206" t="s">
        <v>1651</v>
      </c>
      <c r="E1334" s="1207">
        <v>3000</v>
      </c>
      <c r="F1334" s="1208" t="s">
        <v>3860</v>
      </c>
      <c r="G1334" s="1206" t="s">
        <v>3861</v>
      </c>
      <c r="H1334" s="1206" t="s">
        <v>1651</v>
      </c>
      <c r="I1334" s="1209" t="s">
        <v>2940</v>
      </c>
      <c r="J1334" s="1206" t="s">
        <v>1651</v>
      </c>
      <c r="K1334" s="1205">
        <v>0</v>
      </c>
      <c r="L1334" s="1205">
        <v>0</v>
      </c>
      <c r="M1334" s="1207">
        <v>0</v>
      </c>
      <c r="N1334" s="1205">
        <v>1</v>
      </c>
      <c r="O1334" s="1205">
        <v>1</v>
      </c>
      <c r="P1334" s="1207">
        <v>3000</v>
      </c>
    </row>
    <row r="1335" spans="1:16" x14ac:dyDescent="0.2">
      <c r="A1335" s="1204" t="s">
        <v>2937</v>
      </c>
      <c r="B1335" s="1205" t="s">
        <v>2334</v>
      </c>
      <c r="C1335" s="1205" t="s">
        <v>1444</v>
      </c>
      <c r="D1335" s="1206" t="s">
        <v>1666</v>
      </c>
      <c r="E1335" s="1207">
        <v>2200</v>
      </c>
      <c r="F1335" s="1208" t="s">
        <v>3862</v>
      </c>
      <c r="G1335" s="1206" t="s">
        <v>3863</v>
      </c>
      <c r="H1335" s="1206" t="s">
        <v>1666</v>
      </c>
      <c r="I1335" s="1209" t="s">
        <v>2940</v>
      </c>
      <c r="J1335" s="1206" t="s">
        <v>1666</v>
      </c>
      <c r="K1335" s="1205">
        <v>2</v>
      </c>
      <c r="L1335" s="1205">
        <v>6</v>
      </c>
      <c r="M1335" s="1207">
        <v>13200</v>
      </c>
      <c r="N1335" s="1205">
        <v>2</v>
      </c>
      <c r="O1335" s="1205">
        <v>6</v>
      </c>
      <c r="P1335" s="1207">
        <v>13200</v>
      </c>
    </row>
    <row r="1336" spans="1:16" x14ac:dyDescent="0.2">
      <c r="A1336" s="1204" t="s">
        <v>2937</v>
      </c>
      <c r="B1336" s="1205" t="s">
        <v>2334</v>
      </c>
      <c r="C1336" s="1205" t="s">
        <v>1444</v>
      </c>
      <c r="D1336" s="1206" t="s">
        <v>1656</v>
      </c>
      <c r="E1336" s="1207">
        <v>2500</v>
      </c>
      <c r="F1336" s="1208" t="s">
        <v>3864</v>
      </c>
      <c r="G1336" s="1206" t="s">
        <v>3865</v>
      </c>
      <c r="H1336" s="1206" t="s">
        <v>1656</v>
      </c>
      <c r="I1336" s="1209" t="s">
        <v>2940</v>
      </c>
      <c r="J1336" s="1206" t="s">
        <v>1656</v>
      </c>
      <c r="K1336" s="1205">
        <v>0</v>
      </c>
      <c r="L1336" s="1205">
        <v>0</v>
      </c>
      <c r="M1336" s="1207">
        <v>0</v>
      </c>
      <c r="N1336" s="1205">
        <v>1</v>
      </c>
      <c r="O1336" s="1205">
        <v>1</v>
      </c>
      <c r="P1336" s="1207">
        <v>2500</v>
      </c>
    </row>
    <row r="1337" spans="1:16" x14ac:dyDescent="0.2">
      <c r="A1337" s="1204" t="s">
        <v>2937</v>
      </c>
      <c r="B1337" s="1205" t="s">
        <v>2334</v>
      </c>
      <c r="C1337" s="1205" t="s">
        <v>1444</v>
      </c>
      <c r="D1337" s="1206" t="s">
        <v>1834</v>
      </c>
      <c r="E1337" s="1207">
        <v>6000</v>
      </c>
      <c r="F1337" s="1208" t="s">
        <v>3866</v>
      </c>
      <c r="G1337" s="1206" t="s">
        <v>3867</v>
      </c>
      <c r="H1337" s="1206" t="s">
        <v>1834</v>
      </c>
      <c r="I1337" s="1209" t="s">
        <v>2940</v>
      </c>
      <c r="J1337" s="1206" t="s">
        <v>1834</v>
      </c>
      <c r="K1337" s="1205">
        <v>1</v>
      </c>
      <c r="L1337" s="1205">
        <v>6</v>
      </c>
      <c r="M1337" s="1207">
        <v>36000</v>
      </c>
      <c r="N1337" s="1205">
        <v>1</v>
      </c>
      <c r="O1337" s="1205"/>
      <c r="P1337" s="1207">
        <v>0</v>
      </c>
    </row>
    <row r="1338" spans="1:16" x14ac:dyDescent="0.2">
      <c r="A1338" s="1204" t="s">
        <v>2937</v>
      </c>
      <c r="B1338" s="1205" t="s">
        <v>2334</v>
      </c>
      <c r="C1338" s="1205" t="s">
        <v>1444</v>
      </c>
      <c r="D1338" s="1206" t="s">
        <v>904</v>
      </c>
      <c r="E1338" s="1207">
        <v>2000</v>
      </c>
      <c r="F1338" s="1208" t="s">
        <v>3868</v>
      </c>
      <c r="G1338" s="1206" t="s">
        <v>3869</v>
      </c>
      <c r="H1338" s="1206" t="s">
        <v>904</v>
      </c>
      <c r="I1338" s="1209" t="s">
        <v>2940</v>
      </c>
      <c r="J1338" s="1206" t="s">
        <v>904</v>
      </c>
      <c r="K1338" s="1205">
        <v>3</v>
      </c>
      <c r="L1338" s="1205">
        <v>6</v>
      </c>
      <c r="M1338" s="1207">
        <v>12000</v>
      </c>
      <c r="N1338" s="1205">
        <v>3</v>
      </c>
      <c r="O1338" s="1205">
        <v>6</v>
      </c>
      <c r="P1338" s="1207">
        <v>12000</v>
      </c>
    </row>
    <row r="1339" spans="1:16" x14ac:dyDescent="0.2">
      <c r="A1339" s="1204" t="s">
        <v>2937</v>
      </c>
      <c r="B1339" s="1205" t="s">
        <v>2334</v>
      </c>
      <c r="C1339" s="1205" t="s">
        <v>1444</v>
      </c>
      <c r="D1339" s="1206" t="s">
        <v>1716</v>
      </c>
      <c r="E1339" s="1207">
        <v>2500</v>
      </c>
      <c r="F1339" s="1208" t="s">
        <v>3870</v>
      </c>
      <c r="G1339" s="1206" t="s">
        <v>3871</v>
      </c>
      <c r="H1339" s="1206" t="s">
        <v>1716</v>
      </c>
      <c r="I1339" s="1209" t="s">
        <v>2940</v>
      </c>
      <c r="J1339" s="1206" t="s">
        <v>1716</v>
      </c>
      <c r="K1339" s="1205">
        <v>0</v>
      </c>
      <c r="L1339" s="1205">
        <v>0</v>
      </c>
      <c r="M1339" s="1207">
        <v>0</v>
      </c>
      <c r="N1339" s="1205">
        <v>1</v>
      </c>
      <c r="O1339" s="1205">
        <v>1</v>
      </c>
      <c r="P1339" s="1207">
        <v>2500</v>
      </c>
    </row>
    <row r="1340" spans="1:16" x14ac:dyDescent="0.2">
      <c r="A1340" s="1204" t="s">
        <v>2937</v>
      </c>
      <c r="B1340" s="1205" t="s">
        <v>2334</v>
      </c>
      <c r="C1340" s="1205" t="s">
        <v>1444</v>
      </c>
      <c r="D1340" s="1206" t="s">
        <v>1834</v>
      </c>
      <c r="E1340" s="1207">
        <v>6000</v>
      </c>
      <c r="F1340" s="1208" t="s">
        <v>3872</v>
      </c>
      <c r="G1340" s="1206" t="s">
        <v>3873</v>
      </c>
      <c r="H1340" s="1206" t="s">
        <v>1834</v>
      </c>
      <c r="I1340" s="1209" t="s">
        <v>2940</v>
      </c>
      <c r="J1340" s="1206" t="s">
        <v>1834</v>
      </c>
      <c r="K1340" s="1205">
        <v>1</v>
      </c>
      <c r="L1340" s="1205">
        <v>6</v>
      </c>
      <c r="M1340" s="1207">
        <v>36000</v>
      </c>
      <c r="N1340" s="1205">
        <v>1</v>
      </c>
      <c r="O1340" s="1205"/>
      <c r="P1340" s="1207">
        <v>0</v>
      </c>
    </row>
    <row r="1341" spans="1:16" x14ac:dyDescent="0.2">
      <c r="A1341" s="1204" t="s">
        <v>2937</v>
      </c>
      <c r="B1341" s="1205" t="s">
        <v>2334</v>
      </c>
      <c r="C1341" s="1205" t="s">
        <v>1444</v>
      </c>
      <c r="D1341" s="1206" t="s">
        <v>2337</v>
      </c>
      <c r="E1341" s="1207">
        <v>4000</v>
      </c>
      <c r="F1341" s="1208" t="s">
        <v>3874</v>
      </c>
      <c r="G1341" s="1206" t="s">
        <v>3875</v>
      </c>
      <c r="H1341" s="1206" t="s">
        <v>2337</v>
      </c>
      <c r="I1341" s="1209" t="s">
        <v>2940</v>
      </c>
      <c r="J1341" s="1206" t="s">
        <v>2337</v>
      </c>
      <c r="K1341" s="1205">
        <v>0</v>
      </c>
      <c r="L1341" s="1205">
        <v>0</v>
      </c>
      <c r="M1341" s="1207">
        <v>0</v>
      </c>
      <c r="N1341" s="1205">
        <v>1</v>
      </c>
      <c r="O1341" s="1205">
        <v>3</v>
      </c>
      <c r="P1341" s="1207">
        <v>12000</v>
      </c>
    </row>
    <row r="1342" spans="1:16" x14ac:dyDescent="0.2">
      <c r="A1342" s="1204" t="s">
        <v>2937</v>
      </c>
      <c r="B1342" s="1205" t="s">
        <v>2334</v>
      </c>
      <c r="C1342" s="1205" t="s">
        <v>1444</v>
      </c>
      <c r="D1342" s="1206" t="s">
        <v>2792</v>
      </c>
      <c r="E1342" s="1207">
        <v>1600</v>
      </c>
      <c r="F1342" s="1208" t="s">
        <v>3876</v>
      </c>
      <c r="G1342" s="1206" t="s">
        <v>3877</v>
      </c>
      <c r="H1342" s="1206" t="s">
        <v>2792</v>
      </c>
      <c r="I1342" s="1209" t="s">
        <v>2940</v>
      </c>
      <c r="J1342" s="1206" t="s">
        <v>2792</v>
      </c>
      <c r="K1342" s="1205">
        <v>0</v>
      </c>
      <c r="L1342" s="1205">
        <v>0</v>
      </c>
      <c r="M1342" s="1207">
        <v>0</v>
      </c>
      <c r="N1342" s="1205">
        <v>1</v>
      </c>
      <c r="O1342" s="1205">
        <v>6</v>
      </c>
      <c r="P1342" s="1207">
        <v>9600</v>
      </c>
    </row>
    <row r="1343" spans="1:16" x14ac:dyDescent="0.2">
      <c r="A1343" s="1204" t="s">
        <v>2937</v>
      </c>
      <c r="B1343" s="1205" t="s">
        <v>2334</v>
      </c>
      <c r="C1343" s="1205" t="s">
        <v>1444</v>
      </c>
      <c r="D1343" s="1206" t="s">
        <v>1834</v>
      </c>
      <c r="E1343" s="1207">
        <v>6000</v>
      </c>
      <c r="F1343" s="1208" t="s">
        <v>3878</v>
      </c>
      <c r="G1343" s="1206" t="s">
        <v>3879</v>
      </c>
      <c r="H1343" s="1206" t="s">
        <v>1834</v>
      </c>
      <c r="I1343" s="1209" t="s">
        <v>2940</v>
      </c>
      <c r="J1343" s="1206" t="s">
        <v>1834</v>
      </c>
      <c r="K1343" s="1205">
        <v>1</v>
      </c>
      <c r="L1343" s="1205">
        <v>6</v>
      </c>
      <c r="M1343" s="1207">
        <v>36000</v>
      </c>
      <c r="N1343" s="1205">
        <v>1</v>
      </c>
      <c r="O1343" s="1205">
        <v>6</v>
      </c>
      <c r="P1343" s="1207">
        <v>36000</v>
      </c>
    </row>
    <row r="1344" spans="1:16" x14ac:dyDescent="0.2">
      <c r="A1344" s="1204" t="s">
        <v>2937</v>
      </c>
      <c r="B1344" s="1205" t="s">
        <v>2334</v>
      </c>
      <c r="C1344" s="1205" t="s">
        <v>1444</v>
      </c>
      <c r="D1344" s="1206" t="s">
        <v>2337</v>
      </c>
      <c r="E1344" s="1207">
        <v>2200</v>
      </c>
      <c r="F1344" s="1208" t="s">
        <v>3880</v>
      </c>
      <c r="G1344" s="1206" t="s">
        <v>3881</v>
      </c>
      <c r="H1344" s="1206" t="s">
        <v>2337</v>
      </c>
      <c r="I1344" s="1209" t="s">
        <v>2940</v>
      </c>
      <c r="J1344" s="1206" t="s">
        <v>2337</v>
      </c>
      <c r="K1344" s="1205">
        <v>2</v>
      </c>
      <c r="L1344" s="1205">
        <v>6</v>
      </c>
      <c r="M1344" s="1207">
        <v>13200</v>
      </c>
      <c r="N1344" s="1205">
        <v>2</v>
      </c>
      <c r="O1344" s="1205">
        <v>6</v>
      </c>
      <c r="P1344" s="1207">
        <v>13200</v>
      </c>
    </row>
    <row r="1345" spans="1:16" x14ac:dyDescent="0.2">
      <c r="A1345" s="1204" t="s">
        <v>2937</v>
      </c>
      <c r="B1345" s="1205" t="s">
        <v>2334</v>
      </c>
      <c r="C1345" s="1205" t="s">
        <v>1444</v>
      </c>
      <c r="D1345" s="1206" t="s">
        <v>613</v>
      </c>
      <c r="E1345" s="1207">
        <v>1125</v>
      </c>
      <c r="F1345" s="1208" t="s">
        <v>3882</v>
      </c>
      <c r="G1345" s="1206" t="s">
        <v>3883</v>
      </c>
      <c r="H1345" s="1206" t="s">
        <v>613</v>
      </c>
      <c r="I1345" s="1209" t="s">
        <v>2940</v>
      </c>
      <c r="J1345" s="1206" t="s">
        <v>613</v>
      </c>
      <c r="K1345" s="1205">
        <v>9</v>
      </c>
      <c r="L1345" s="1205">
        <v>6</v>
      </c>
      <c r="M1345" s="1207">
        <v>6750</v>
      </c>
      <c r="N1345" s="1205">
        <v>9</v>
      </c>
      <c r="O1345" s="1205">
        <v>6</v>
      </c>
      <c r="P1345" s="1207">
        <v>6750</v>
      </c>
    </row>
    <row r="1346" spans="1:16" x14ac:dyDescent="0.2">
      <c r="A1346" s="1204" t="s">
        <v>2937</v>
      </c>
      <c r="B1346" s="1205" t="s">
        <v>2334</v>
      </c>
      <c r="C1346" s="1205" t="s">
        <v>1444</v>
      </c>
      <c r="D1346" s="1206" t="s">
        <v>1651</v>
      </c>
      <c r="E1346" s="1207">
        <v>3000</v>
      </c>
      <c r="F1346" s="1208" t="s">
        <v>3884</v>
      </c>
      <c r="G1346" s="1206" t="s">
        <v>3885</v>
      </c>
      <c r="H1346" s="1206" t="s">
        <v>1651</v>
      </c>
      <c r="I1346" s="1209" t="s">
        <v>2940</v>
      </c>
      <c r="J1346" s="1206" t="s">
        <v>1651</v>
      </c>
      <c r="K1346" s="1205">
        <v>0</v>
      </c>
      <c r="L1346" s="1205">
        <v>0</v>
      </c>
      <c r="M1346" s="1207">
        <v>0</v>
      </c>
      <c r="N1346" s="1205">
        <v>1</v>
      </c>
      <c r="O1346" s="1205">
        <v>2</v>
      </c>
      <c r="P1346" s="1207">
        <v>6000</v>
      </c>
    </row>
    <row r="1347" spans="1:16" x14ac:dyDescent="0.2">
      <c r="A1347" s="1204" t="s">
        <v>2937</v>
      </c>
      <c r="B1347" s="1205" t="s">
        <v>2334</v>
      </c>
      <c r="C1347" s="1205" t="s">
        <v>1444</v>
      </c>
      <c r="D1347" s="1206" t="s">
        <v>613</v>
      </c>
      <c r="E1347" s="1207">
        <v>1060</v>
      </c>
      <c r="F1347" s="1208" t="s">
        <v>3886</v>
      </c>
      <c r="G1347" s="1206" t="s">
        <v>3887</v>
      </c>
      <c r="H1347" s="1206" t="s">
        <v>613</v>
      </c>
      <c r="I1347" s="1209" t="s">
        <v>2940</v>
      </c>
      <c r="J1347" s="1206" t="s">
        <v>613</v>
      </c>
      <c r="K1347" s="1205">
        <v>0</v>
      </c>
      <c r="L1347" s="1205">
        <v>0</v>
      </c>
      <c r="M1347" s="1207">
        <v>0</v>
      </c>
      <c r="N1347" s="1205">
        <v>1</v>
      </c>
      <c r="O1347" s="1205">
        <v>6</v>
      </c>
      <c r="P1347" s="1207">
        <v>6360</v>
      </c>
    </row>
    <row r="1348" spans="1:16" x14ac:dyDescent="0.2">
      <c r="A1348" s="1204" t="s">
        <v>2937</v>
      </c>
      <c r="B1348" s="1205" t="s">
        <v>2334</v>
      </c>
      <c r="C1348" s="1205" t="s">
        <v>1444</v>
      </c>
      <c r="D1348" s="1206" t="s">
        <v>2612</v>
      </c>
      <c r="E1348" s="1207">
        <v>5600</v>
      </c>
      <c r="F1348" s="1208" t="s">
        <v>3888</v>
      </c>
      <c r="G1348" s="1206" t="s">
        <v>3889</v>
      </c>
      <c r="H1348" s="1206" t="s">
        <v>2612</v>
      </c>
      <c r="I1348" s="1209" t="s">
        <v>2940</v>
      </c>
      <c r="J1348" s="1206" t="s">
        <v>2612</v>
      </c>
      <c r="K1348" s="1205">
        <v>1</v>
      </c>
      <c r="L1348" s="1205">
        <v>6</v>
      </c>
      <c r="M1348" s="1207">
        <v>33600</v>
      </c>
      <c r="N1348" s="1205">
        <v>1</v>
      </c>
      <c r="O1348" s="1205"/>
      <c r="P1348" s="1207">
        <v>0</v>
      </c>
    </row>
    <row r="1349" spans="1:16" ht="12.75" x14ac:dyDescent="0.2">
      <c r="A1349" s="1204" t="s">
        <v>2937</v>
      </c>
      <c r="B1349" s="1205" t="s">
        <v>2334</v>
      </c>
      <c r="C1349" s="1205" t="s">
        <v>1444</v>
      </c>
      <c r="D1349" s="1206" t="s">
        <v>1834</v>
      </c>
      <c r="E1349" s="1207">
        <v>6000</v>
      </c>
      <c r="F1349" s="1208" t="s">
        <v>3890</v>
      </c>
      <c r="G1349" s="1206" t="s">
        <v>3891</v>
      </c>
      <c r="H1349" s="1206" t="s">
        <v>1834</v>
      </c>
      <c r="I1349" s="1209" t="s">
        <v>2940</v>
      </c>
      <c r="J1349" s="1206" t="s">
        <v>1834</v>
      </c>
      <c r="K1349" s="1205">
        <v>2</v>
      </c>
      <c r="L1349" s="1205">
        <v>6</v>
      </c>
      <c r="M1349" s="1207">
        <v>36000</v>
      </c>
      <c r="N1349" s="1210">
        <v>2</v>
      </c>
      <c r="O1349" s="1210">
        <v>6</v>
      </c>
      <c r="P1349" s="1211">
        <v>36000</v>
      </c>
    </row>
    <row r="1350" spans="1:16" ht="12.75" x14ac:dyDescent="0.2">
      <c r="A1350" s="1204" t="s">
        <v>2937</v>
      </c>
      <c r="B1350" s="1205" t="s">
        <v>2334</v>
      </c>
      <c r="C1350" s="1205" t="s">
        <v>1444</v>
      </c>
      <c r="D1350" s="1206" t="s">
        <v>1834</v>
      </c>
      <c r="E1350" s="1207">
        <v>6000</v>
      </c>
      <c r="F1350" s="1208" t="s">
        <v>3892</v>
      </c>
      <c r="G1350" s="1206" t="s">
        <v>3893</v>
      </c>
      <c r="H1350" s="1206" t="s">
        <v>1834</v>
      </c>
      <c r="I1350" s="1209" t="s">
        <v>2940</v>
      </c>
      <c r="J1350" s="1206" t="s">
        <v>1834</v>
      </c>
      <c r="K1350" s="1205">
        <v>2</v>
      </c>
      <c r="L1350" s="1205">
        <v>6</v>
      </c>
      <c r="M1350" s="1207">
        <v>36000</v>
      </c>
      <c r="N1350" s="1210">
        <v>2</v>
      </c>
      <c r="O1350" s="1210">
        <v>6</v>
      </c>
      <c r="P1350" s="1211">
        <v>36000</v>
      </c>
    </row>
    <row r="1351" spans="1:16" ht="12.75" x14ac:dyDescent="0.2">
      <c r="A1351" s="1204" t="s">
        <v>2937</v>
      </c>
      <c r="B1351" s="1205" t="s">
        <v>2334</v>
      </c>
      <c r="C1351" s="1205" t="s">
        <v>1444</v>
      </c>
      <c r="D1351" s="1206" t="s">
        <v>947</v>
      </c>
      <c r="E1351" s="1207">
        <v>5000</v>
      </c>
      <c r="F1351" s="1208" t="s">
        <v>3894</v>
      </c>
      <c r="G1351" s="1206" t="s">
        <v>3895</v>
      </c>
      <c r="H1351" s="1206" t="s">
        <v>947</v>
      </c>
      <c r="I1351" s="1209" t="s">
        <v>2940</v>
      </c>
      <c r="J1351" s="1206" t="s">
        <v>947</v>
      </c>
      <c r="K1351" s="1205">
        <v>2</v>
      </c>
      <c r="L1351" s="1205">
        <v>6</v>
      </c>
      <c r="M1351" s="1207">
        <v>30000</v>
      </c>
      <c r="N1351" s="1210">
        <v>2</v>
      </c>
      <c r="O1351" s="1210">
        <v>6</v>
      </c>
      <c r="P1351" s="1211">
        <v>30000</v>
      </c>
    </row>
    <row r="1352" spans="1:16" x14ac:dyDescent="0.2">
      <c r="A1352" s="1204" t="s">
        <v>2937</v>
      </c>
      <c r="B1352" s="1205" t="s">
        <v>2334</v>
      </c>
      <c r="C1352" s="1205" t="s">
        <v>1444</v>
      </c>
      <c r="D1352" s="1206" t="s">
        <v>2337</v>
      </c>
      <c r="E1352" s="1207">
        <v>2200</v>
      </c>
      <c r="F1352" s="1208" t="s">
        <v>3896</v>
      </c>
      <c r="G1352" s="1206" t="s">
        <v>3897</v>
      </c>
      <c r="H1352" s="1206" t="s">
        <v>2337</v>
      </c>
      <c r="I1352" s="1209" t="s">
        <v>2940</v>
      </c>
      <c r="J1352" s="1206" t="s">
        <v>2337</v>
      </c>
      <c r="K1352" s="1205">
        <v>5</v>
      </c>
      <c r="L1352" s="1205">
        <v>6</v>
      </c>
      <c r="M1352" s="1207">
        <v>13200</v>
      </c>
      <c r="N1352" s="1205">
        <v>5</v>
      </c>
      <c r="O1352" s="1205">
        <v>6</v>
      </c>
      <c r="P1352" s="1207">
        <v>13200</v>
      </c>
    </row>
    <row r="1353" spans="1:16" x14ac:dyDescent="0.2">
      <c r="A1353" s="1204" t="s">
        <v>2937</v>
      </c>
      <c r="B1353" s="1205" t="s">
        <v>2334</v>
      </c>
      <c r="C1353" s="1205" t="s">
        <v>1444</v>
      </c>
      <c r="D1353" s="1206" t="s">
        <v>1834</v>
      </c>
      <c r="E1353" s="1207">
        <v>6000</v>
      </c>
      <c r="F1353" s="1208" t="s">
        <v>3898</v>
      </c>
      <c r="G1353" s="1206" t="s">
        <v>3899</v>
      </c>
      <c r="H1353" s="1206" t="s">
        <v>1834</v>
      </c>
      <c r="I1353" s="1209" t="s">
        <v>2940</v>
      </c>
      <c r="J1353" s="1206" t="s">
        <v>1834</v>
      </c>
      <c r="K1353" s="1205">
        <v>1</v>
      </c>
      <c r="L1353" s="1205">
        <v>6</v>
      </c>
      <c r="M1353" s="1207">
        <v>36000</v>
      </c>
      <c r="N1353" s="1205">
        <v>1</v>
      </c>
      <c r="O1353" s="1205">
        <v>6</v>
      </c>
      <c r="P1353" s="1207">
        <v>36000</v>
      </c>
    </row>
    <row r="1354" spans="1:16" x14ac:dyDescent="0.2">
      <c r="A1354" s="1204" t="s">
        <v>2937</v>
      </c>
      <c r="B1354" s="1205" t="s">
        <v>2334</v>
      </c>
      <c r="C1354" s="1205" t="s">
        <v>1444</v>
      </c>
      <c r="D1354" s="1206" t="s">
        <v>1666</v>
      </c>
      <c r="E1354" s="1207">
        <v>4000</v>
      </c>
      <c r="F1354" s="1208" t="s">
        <v>3900</v>
      </c>
      <c r="G1354" s="1206" t="s">
        <v>3901</v>
      </c>
      <c r="H1354" s="1206" t="s">
        <v>1666</v>
      </c>
      <c r="I1354" s="1209" t="s">
        <v>2940</v>
      </c>
      <c r="J1354" s="1206" t="s">
        <v>1666</v>
      </c>
      <c r="K1354" s="1205">
        <v>0</v>
      </c>
      <c r="L1354" s="1205">
        <v>0</v>
      </c>
      <c r="M1354" s="1207">
        <v>0</v>
      </c>
      <c r="N1354" s="1205">
        <v>1</v>
      </c>
      <c r="O1354" s="1205">
        <v>1</v>
      </c>
      <c r="P1354" s="1207">
        <v>4000</v>
      </c>
    </row>
    <row r="1355" spans="1:16" x14ac:dyDescent="0.2">
      <c r="A1355" s="1204" t="s">
        <v>2937</v>
      </c>
      <c r="B1355" s="1205" t="s">
        <v>2334</v>
      </c>
      <c r="C1355" s="1205" t="s">
        <v>1444</v>
      </c>
      <c r="D1355" s="1206" t="s">
        <v>1834</v>
      </c>
      <c r="E1355" s="1207">
        <v>8000</v>
      </c>
      <c r="F1355" s="1208" t="s">
        <v>3902</v>
      </c>
      <c r="G1355" s="1206" t="s">
        <v>3903</v>
      </c>
      <c r="H1355" s="1206" t="s">
        <v>1834</v>
      </c>
      <c r="I1355" s="1209" t="s">
        <v>2940</v>
      </c>
      <c r="J1355" s="1206" t="s">
        <v>1834</v>
      </c>
      <c r="K1355" s="1205">
        <v>0</v>
      </c>
      <c r="L1355" s="1205">
        <v>0</v>
      </c>
      <c r="M1355" s="1207">
        <v>0</v>
      </c>
      <c r="N1355" s="1205">
        <v>1</v>
      </c>
      <c r="O1355" s="1205">
        <v>3</v>
      </c>
      <c r="P1355" s="1207">
        <v>24000</v>
      </c>
    </row>
    <row r="1356" spans="1:16" x14ac:dyDescent="0.2">
      <c r="A1356" s="1204" t="s">
        <v>2937</v>
      </c>
      <c r="B1356" s="1205" t="s">
        <v>2334</v>
      </c>
      <c r="C1356" s="1205" t="s">
        <v>1444</v>
      </c>
      <c r="D1356" s="1206" t="s">
        <v>2337</v>
      </c>
      <c r="E1356" s="1207">
        <v>4000</v>
      </c>
      <c r="F1356" s="1208" t="s">
        <v>3904</v>
      </c>
      <c r="G1356" s="1206" t="s">
        <v>3905</v>
      </c>
      <c r="H1356" s="1206" t="s">
        <v>2337</v>
      </c>
      <c r="I1356" s="1209" t="s">
        <v>2940</v>
      </c>
      <c r="J1356" s="1206" t="s">
        <v>2337</v>
      </c>
      <c r="K1356" s="1205">
        <v>0</v>
      </c>
      <c r="L1356" s="1205">
        <v>0</v>
      </c>
      <c r="M1356" s="1207">
        <v>0</v>
      </c>
      <c r="N1356" s="1205">
        <v>1</v>
      </c>
      <c r="O1356" s="1205">
        <v>3</v>
      </c>
      <c r="P1356" s="1207">
        <v>12000</v>
      </c>
    </row>
    <row r="1357" spans="1:16" x14ac:dyDescent="0.2">
      <c r="A1357" s="1204" t="s">
        <v>2937</v>
      </c>
      <c r="B1357" s="1205" t="s">
        <v>2334</v>
      </c>
      <c r="C1357" s="1205" t="s">
        <v>1444</v>
      </c>
      <c r="D1357" s="1206" t="s">
        <v>1716</v>
      </c>
      <c r="E1357" s="1207">
        <v>2500</v>
      </c>
      <c r="F1357" s="1208" t="s">
        <v>3906</v>
      </c>
      <c r="G1357" s="1206" t="s">
        <v>3907</v>
      </c>
      <c r="H1357" s="1206" t="s">
        <v>1716</v>
      </c>
      <c r="I1357" s="1209" t="s">
        <v>2940</v>
      </c>
      <c r="J1357" s="1206" t="s">
        <v>1716</v>
      </c>
      <c r="K1357" s="1205">
        <v>0</v>
      </c>
      <c r="L1357" s="1205">
        <v>0</v>
      </c>
      <c r="M1357" s="1207">
        <v>0</v>
      </c>
      <c r="N1357" s="1205">
        <v>1</v>
      </c>
      <c r="O1357" s="1205">
        <v>1</v>
      </c>
      <c r="P1357" s="1207">
        <v>2500</v>
      </c>
    </row>
    <row r="1358" spans="1:16" x14ac:dyDescent="0.2">
      <c r="A1358" s="1204" t="s">
        <v>2937</v>
      </c>
      <c r="B1358" s="1205" t="s">
        <v>2334</v>
      </c>
      <c r="C1358" s="1205" t="s">
        <v>1444</v>
      </c>
      <c r="D1358" s="1206" t="s">
        <v>1834</v>
      </c>
      <c r="E1358" s="1207">
        <v>8000</v>
      </c>
      <c r="F1358" s="1208" t="s">
        <v>3908</v>
      </c>
      <c r="G1358" s="1206" t="s">
        <v>3909</v>
      </c>
      <c r="H1358" s="1206" t="s">
        <v>1834</v>
      </c>
      <c r="I1358" s="1209" t="s">
        <v>2940</v>
      </c>
      <c r="J1358" s="1206" t="s">
        <v>1834</v>
      </c>
      <c r="K1358" s="1205">
        <v>0</v>
      </c>
      <c r="L1358" s="1205">
        <v>0</v>
      </c>
      <c r="M1358" s="1207">
        <v>0</v>
      </c>
      <c r="N1358" s="1205">
        <v>1</v>
      </c>
      <c r="O1358" s="1205">
        <v>1</v>
      </c>
      <c r="P1358" s="1207">
        <v>8000</v>
      </c>
    </row>
    <row r="1359" spans="1:16" ht="12.75" x14ac:dyDescent="0.2">
      <c r="A1359" s="1204" t="s">
        <v>2937</v>
      </c>
      <c r="B1359" s="1205" t="s">
        <v>2334</v>
      </c>
      <c r="C1359" s="1205" t="s">
        <v>1444</v>
      </c>
      <c r="D1359" s="1206" t="s">
        <v>3662</v>
      </c>
      <c r="E1359" s="1207">
        <v>5000</v>
      </c>
      <c r="F1359" s="1208" t="s">
        <v>3910</v>
      </c>
      <c r="G1359" s="1206" t="s">
        <v>3911</v>
      </c>
      <c r="H1359" s="1206" t="s">
        <v>3662</v>
      </c>
      <c r="I1359" s="1209" t="s">
        <v>2940</v>
      </c>
      <c r="J1359" s="1206" t="s">
        <v>3662</v>
      </c>
      <c r="K1359" s="1205">
        <v>2</v>
      </c>
      <c r="L1359" s="1205">
        <v>2</v>
      </c>
      <c r="M1359" s="1207">
        <v>10000</v>
      </c>
      <c r="N1359" s="1210">
        <v>2</v>
      </c>
      <c r="O1359" s="1210">
        <v>2</v>
      </c>
      <c r="P1359" s="1211">
        <v>10000</v>
      </c>
    </row>
    <row r="1360" spans="1:16" x14ac:dyDescent="0.2">
      <c r="A1360" s="1204" t="s">
        <v>2937</v>
      </c>
      <c r="B1360" s="1205" t="s">
        <v>2334</v>
      </c>
      <c r="C1360" s="1205" t="s">
        <v>1444</v>
      </c>
      <c r="D1360" s="1206" t="s">
        <v>2337</v>
      </c>
      <c r="E1360" s="1207">
        <v>2200</v>
      </c>
      <c r="F1360" s="1208" t="s">
        <v>3912</v>
      </c>
      <c r="G1360" s="1206" t="s">
        <v>3913</v>
      </c>
      <c r="H1360" s="1206" t="s">
        <v>2337</v>
      </c>
      <c r="I1360" s="1209" t="s">
        <v>2940</v>
      </c>
      <c r="J1360" s="1206" t="s">
        <v>2337</v>
      </c>
      <c r="K1360" s="1205">
        <v>2</v>
      </c>
      <c r="L1360" s="1205">
        <v>6</v>
      </c>
      <c r="M1360" s="1207">
        <v>13200</v>
      </c>
      <c r="N1360" s="1205">
        <v>2</v>
      </c>
      <c r="O1360" s="1205">
        <v>6</v>
      </c>
      <c r="P1360" s="1207">
        <v>13200</v>
      </c>
    </row>
    <row r="1361" spans="1:16" x14ac:dyDescent="0.2">
      <c r="A1361" s="1204" t="s">
        <v>2937</v>
      </c>
      <c r="B1361" s="1205" t="s">
        <v>2334</v>
      </c>
      <c r="C1361" s="1205" t="s">
        <v>1444</v>
      </c>
      <c r="D1361" s="1206" t="s">
        <v>2337</v>
      </c>
      <c r="E1361" s="1207">
        <v>4000</v>
      </c>
      <c r="F1361" s="1208" t="s">
        <v>3914</v>
      </c>
      <c r="G1361" s="1206" t="s">
        <v>3915</v>
      </c>
      <c r="H1361" s="1206" t="s">
        <v>2337</v>
      </c>
      <c r="I1361" s="1209" t="s">
        <v>2940</v>
      </c>
      <c r="J1361" s="1206" t="s">
        <v>2337</v>
      </c>
      <c r="K1361" s="1205">
        <v>0</v>
      </c>
      <c r="L1361" s="1205">
        <v>0</v>
      </c>
      <c r="M1361" s="1207">
        <v>0</v>
      </c>
      <c r="N1361" s="1205">
        <v>1</v>
      </c>
      <c r="O1361" s="1205">
        <v>3</v>
      </c>
      <c r="P1361" s="1207">
        <v>12000</v>
      </c>
    </row>
    <row r="1362" spans="1:16" x14ac:dyDescent="0.2">
      <c r="A1362" s="1204" t="s">
        <v>2937</v>
      </c>
      <c r="B1362" s="1205" t="s">
        <v>2334</v>
      </c>
      <c r="C1362" s="1205" t="s">
        <v>1444</v>
      </c>
      <c r="D1362" s="1206" t="s">
        <v>3916</v>
      </c>
      <c r="E1362" s="1207">
        <v>3000</v>
      </c>
      <c r="F1362" s="1208" t="s">
        <v>3917</v>
      </c>
      <c r="G1362" s="1206" t="s">
        <v>3918</v>
      </c>
      <c r="H1362" s="1206" t="s">
        <v>3916</v>
      </c>
      <c r="I1362" s="1209" t="s">
        <v>2940</v>
      </c>
      <c r="J1362" s="1206" t="s">
        <v>3916</v>
      </c>
      <c r="K1362" s="1205">
        <v>0</v>
      </c>
      <c r="L1362" s="1205">
        <v>0</v>
      </c>
      <c r="M1362" s="1207">
        <v>0</v>
      </c>
      <c r="N1362" s="1205">
        <v>1</v>
      </c>
      <c r="O1362" s="1205">
        <v>1</v>
      </c>
      <c r="P1362" s="1207">
        <v>3000</v>
      </c>
    </row>
    <row r="1363" spans="1:16" ht="12.75" x14ac:dyDescent="0.2">
      <c r="A1363" s="1204" t="s">
        <v>2937</v>
      </c>
      <c r="B1363" s="1205" t="s">
        <v>2334</v>
      </c>
      <c r="C1363" s="1205" t="s">
        <v>1444</v>
      </c>
      <c r="D1363" s="1206" t="s">
        <v>1666</v>
      </c>
      <c r="E1363" s="1207">
        <v>2200</v>
      </c>
      <c r="F1363" s="1208" t="s">
        <v>3919</v>
      </c>
      <c r="G1363" s="1206" t="s">
        <v>3920</v>
      </c>
      <c r="H1363" s="1206" t="s">
        <v>1666</v>
      </c>
      <c r="I1363" s="1209" t="s">
        <v>2940</v>
      </c>
      <c r="J1363" s="1206" t="s">
        <v>1666</v>
      </c>
      <c r="K1363" s="1205">
        <v>2</v>
      </c>
      <c r="L1363" s="1205">
        <v>6</v>
      </c>
      <c r="M1363" s="1207">
        <v>13200</v>
      </c>
      <c r="N1363" s="1210">
        <v>2</v>
      </c>
      <c r="O1363" s="1210">
        <v>6</v>
      </c>
      <c r="P1363" s="1211">
        <v>13200</v>
      </c>
    </row>
    <row r="1364" spans="1:16" x14ac:dyDescent="0.2">
      <c r="A1364" s="1204" t="s">
        <v>2937</v>
      </c>
      <c r="B1364" s="1205" t="s">
        <v>2334</v>
      </c>
      <c r="C1364" s="1205" t="s">
        <v>1444</v>
      </c>
      <c r="D1364" s="1206" t="s">
        <v>1834</v>
      </c>
      <c r="E1364" s="1207">
        <v>6000</v>
      </c>
      <c r="F1364" s="1208" t="s">
        <v>3921</v>
      </c>
      <c r="G1364" s="1206" t="s">
        <v>3922</v>
      </c>
      <c r="H1364" s="1206" t="s">
        <v>1834</v>
      </c>
      <c r="I1364" s="1209" t="s">
        <v>2940</v>
      </c>
      <c r="J1364" s="1206" t="s">
        <v>1834</v>
      </c>
      <c r="K1364" s="1205">
        <v>2</v>
      </c>
      <c r="L1364" s="1205">
        <v>6</v>
      </c>
      <c r="M1364" s="1207">
        <v>36000</v>
      </c>
      <c r="N1364" s="1205">
        <v>2</v>
      </c>
      <c r="O1364" s="1205">
        <v>6</v>
      </c>
      <c r="P1364" s="1207">
        <v>36000</v>
      </c>
    </row>
    <row r="1365" spans="1:16" x14ac:dyDescent="0.2">
      <c r="A1365" s="1204" t="s">
        <v>2937</v>
      </c>
      <c r="B1365" s="1205" t="s">
        <v>2334</v>
      </c>
      <c r="C1365" s="1205" t="s">
        <v>1444</v>
      </c>
      <c r="D1365" s="1206" t="s">
        <v>2337</v>
      </c>
      <c r="E1365" s="1207">
        <v>4000</v>
      </c>
      <c r="F1365" s="1208" t="s">
        <v>3923</v>
      </c>
      <c r="G1365" s="1206" t="s">
        <v>3924</v>
      </c>
      <c r="H1365" s="1206" t="s">
        <v>2337</v>
      </c>
      <c r="I1365" s="1209" t="s">
        <v>2940</v>
      </c>
      <c r="J1365" s="1206" t="s">
        <v>2337</v>
      </c>
      <c r="K1365" s="1205">
        <v>0</v>
      </c>
      <c r="L1365" s="1205">
        <v>0</v>
      </c>
      <c r="M1365" s="1207">
        <v>0</v>
      </c>
      <c r="N1365" s="1205">
        <v>1</v>
      </c>
      <c r="O1365" s="1205">
        <v>3</v>
      </c>
      <c r="P1365" s="1207">
        <v>12000</v>
      </c>
    </row>
    <row r="1366" spans="1:16" x14ac:dyDescent="0.2">
      <c r="A1366" s="1204" t="s">
        <v>2937</v>
      </c>
      <c r="B1366" s="1205" t="s">
        <v>2334</v>
      </c>
      <c r="C1366" s="1205" t="s">
        <v>1444</v>
      </c>
      <c r="D1366" s="1206" t="s">
        <v>2047</v>
      </c>
      <c r="E1366" s="1207">
        <v>1125</v>
      </c>
      <c r="F1366" s="1208" t="s">
        <v>3925</v>
      </c>
      <c r="G1366" s="1206" t="s">
        <v>3926</v>
      </c>
      <c r="H1366" s="1206" t="s">
        <v>2047</v>
      </c>
      <c r="I1366" s="1209" t="s">
        <v>2940</v>
      </c>
      <c r="J1366" s="1206" t="s">
        <v>2047</v>
      </c>
      <c r="K1366" s="1205">
        <v>0</v>
      </c>
      <c r="L1366" s="1205">
        <v>0</v>
      </c>
      <c r="M1366" s="1207">
        <v>0</v>
      </c>
      <c r="N1366" s="1205">
        <v>1</v>
      </c>
      <c r="O1366" s="1205">
        <v>6</v>
      </c>
      <c r="P1366" s="1207">
        <v>6750</v>
      </c>
    </row>
    <row r="1367" spans="1:16" x14ac:dyDescent="0.2">
      <c r="A1367" s="1204" t="s">
        <v>2937</v>
      </c>
      <c r="B1367" s="1205" t="s">
        <v>2334</v>
      </c>
      <c r="C1367" s="1205" t="s">
        <v>1444</v>
      </c>
      <c r="D1367" s="1206" t="s">
        <v>1651</v>
      </c>
      <c r="E1367" s="1207">
        <v>3000</v>
      </c>
      <c r="F1367" s="1208" t="s">
        <v>3927</v>
      </c>
      <c r="G1367" s="1206" t="s">
        <v>3928</v>
      </c>
      <c r="H1367" s="1206" t="s">
        <v>1651</v>
      </c>
      <c r="I1367" s="1209" t="s">
        <v>2940</v>
      </c>
      <c r="J1367" s="1206" t="s">
        <v>1651</v>
      </c>
      <c r="K1367" s="1205">
        <v>0</v>
      </c>
      <c r="L1367" s="1205">
        <v>0</v>
      </c>
      <c r="M1367" s="1207">
        <v>0</v>
      </c>
      <c r="N1367" s="1205">
        <v>1</v>
      </c>
      <c r="O1367" s="1205">
        <v>1</v>
      </c>
      <c r="P1367" s="1207">
        <v>3000</v>
      </c>
    </row>
    <row r="1368" spans="1:16" x14ac:dyDescent="0.2">
      <c r="A1368" s="1204" t="s">
        <v>2937</v>
      </c>
      <c r="B1368" s="1205" t="s">
        <v>2334</v>
      </c>
      <c r="C1368" s="1205" t="s">
        <v>1444</v>
      </c>
      <c r="D1368" s="1206" t="s">
        <v>2337</v>
      </c>
      <c r="E1368" s="1207">
        <v>2200</v>
      </c>
      <c r="F1368" s="1208" t="s">
        <v>3929</v>
      </c>
      <c r="G1368" s="1206" t="s">
        <v>3930</v>
      </c>
      <c r="H1368" s="1206" t="s">
        <v>2337</v>
      </c>
      <c r="I1368" s="1209" t="s">
        <v>2940</v>
      </c>
      <c r="J1368" s="1206" t="s">
        <v>2337</v>
      </c>
      <c r="K1368" s="1205">
        <v>1</v>
      </c>
      <c r="L1368" s="1205">
        <v>6</v>
      </c>
      <c r="M1368" s="1207">
        <v>13200</v>
      </c>
      <c r="N1368" s="1205">
        <v>1</v>
      </c>
      <c r="O1368" s="1205">
        <v>6</v>
      </c>
      <c r="P1368" s="1207">
        <v>13200</v>
      </c>
    </row>
    <row r="1369" spans="1:16" x14ac:dyDescent="0.2">
      <c r="A1369" s="1204" t="s">
        <v>2937</v>
      </c>
      <c r="B1369" s="1205" t="s">
        <v>2334</v>
      </c>
      <c r="C1369" s="1205" t="s">
        <v>1444</v>
      </c>
      <c r="D1369" s="1206" t="s">
        <v>1834</v>
      </c>
      <c r="E1369" s="1207">
        <v>6000</v>
      </c>
      <c r="F1369" s="1208" t="s">
        <v>3931</v>
      </c>
      <c r="G1369" s="1206" t="s">
        <v>3932</v>
      </c>
      <c r="H1369" s="1206" t="s">
        <v>1834</v>
      </c>
      <c r="I1369" s="1209" t="s">
        <v>2940</v>
      </c>
      <c r="J1369" s="1206" t="s">
        <v>1834</v>
      </c>
      <c r="K1369" s="1205">
        <v>3</v>
      </c>
      <c r="L1369" s="1205">
        <v>6</v>
      </c>
      <c r="M1369" s="1207">
        <v>36000</v>
      </c>
      <c r="N1369" s="1205">
        <v>3</v>
      </c>
      <c r="O1369" s="1205">
        <v>6</v>
      </c>
      <c r="P1369" s="1207">
        <v>36000</v>
      </c>
    </row>
    <row r="1370" spans="1:16" x14ac:dyDescent="0.2">
      <c r="A1370" s="1204" t="s">
        <v>2937</v>
      </c>
      <c r="B1370" s="1205" t="s">
        <v>2334</v>
      </c>
      <c r="C1370" s="1205" t="s">
        <v>1444</v>
      </c>
      <c r="D1370" s="1206" t="s">
        <v>1656</v>
      </c>
      <c r="E1370" s="1207">
        <v>2500</v>
      </c>
      <c r="F1370" s="1208" t="s">
        <v>3933</v>
      </c>
      <c r="G1370" s="1206" t="s">
        <v>3934</v>
      </c>
      <c r="H1370" s="1206" t="s">
        <v>1656</v>
      </c>
      <c r="I1370" s="1209" t="s">
        <v>2940</v>
      </c>
      <c r="J1370" s="1206" t="s">
        <v>1656</v>
      </c>
      <c r="K1370" s="1205">
        <v>0</v>
      </c>
      <c r="L1370" s="1205">
        <v>0</v>
      </c>
      <c r="M1370" s="1207">
        <v>0</v>
      </c>
      <c r="N1370" s="1205">
        <v>1</v>
      </c>
      <c r="O1370" s="1205">
        <v>3</v>
      </c>
      <c r="P1370" s="1207">
        <v>7500</v>
      </c>
    </row>
    <row r="1371" spans="1:16" x14ac:dyDescent="0.2">
      <c r="A1371" s="1204" t="s">
        <v>2937</v>
      </c>
      <c r="B1371" s="1205" t="s">
        <v>2334</v>
      </c>
      <c r="C1371" s="1205" t="s">
        <v>1444</v>
      </c>
      <c r="D1371" s="1206" t="s">
        <v>1651</v>
      </c>
      <c r="E1371" s="1207">
        <v>1125</v>
      </c>
      <c r="F1371" s="1208" t="s">
        <v>3935</v>
      </c>
      <c r="G1371" s="1206" t="s">
        <v>3936</v>
      </c>
      <c r="H1371" s="1206" t="s">
        <v>1651</v>
      </c>
      <c r="I1371" s="1209" t="s">
        <v>2940</v>
      </c>
      <c r="J1371" s="1206" t="s">
        <v>1651</v>
      </c>
      <c r="K1371" s="1205">
        <v>1</v>
      </c>
      <c r="L1371" s="1205">
        <v>6</v>
      </c>
      <c r="M1371" s="1207">
        <v>6750</v>
      </c>
      <c r="N1371" s="1205">
        <v>1</v>
      </c>
      <c r="O1371" s="1205"/>
      <c r="P1371" s="1207">
        <v>0</v>
      </c>
    </row>
    <row r="1372" spans="1:16" ht="12.75" x14ac:dyDescent="0.2">
      <c r="A1372" s="1204" t="s">
        <v>2937</v>
      </c>
      <c r="B1372" s="1205" t="s">
        <v>2334</v>
      </c>
      <c r="C1372" s="1205" t="s">
        <v>1444</v>
      </c>
      <c r="D1372" s="1206" t="s">
        <v>1716</v>
      </c>
      <c r="E1372" s="1207">
        <v>1800</v>
      </c>
      <c r="F1372" s="1208" t="s">
        <v>3937</v>
      </c>
      <c r="G1372" s="1206" t="s">
        <v>3938</v>
      </c>
      <c r="H1372" s="1206" t="s">
        <v>1716</v>
      </c>
      <c r="I1372" s="1209" t="s">
        <v>2940</v>
      </c>
      <c r="J1372" s="1206" t="s">
        <v>1716</v>
      </c>
      <c r="K1372" s="1205">
        <v>2</v>
      </c>
      <c r="L1372" s="1205">
        <v>6</v>
      </c>
      <c r="M1372" s="1207">
        <v>10800</v>
      </c>
      <c r="N1372" s="1210">
        <v>2</v>
      </c>
      <c r="O1372" s="1210">
        <v>6</v>
      </c>
      <c r="P1372" s="1211">
        <v>10800</v>
      </c>
    </row>
    <row r="1373" spans="1:16" x14ac:dyDescent="0.2">
      <c r="A1373" s="1204" t="s">
        <v>2937</v>
      </c>
      <c r="B1373" s="1205" t="s">
        <v>2334</v>
      </c>
      <c r="C1373" s="1205" t="s">
        <v>1444</v>
      </c>
      <c r="D1373" s="1206" t="s">
        <v>1758</v>
      </c>
      <c r="E1373" s="1207">
        <v>4000</v>
      </c>
      <c r="F1373" s="1208" t="s">
        <v>3939</v>
      </c>
      <c r="G1373" s="1206" t="s">
        <v>3940</v>
      </c>
      <c r="H1373" s="1206" t="s">
        <v>1758</v>
      </c>
      <c r="I1373" s="1209" t="s">
        <v>2940</v>
      </c>
      <c r="J1373" s="1206" t="s">
        <v>1758</v>
      </c>
      <c r="K1373" s="1205">
        <v>0</v>
      </c>
      <c r="L1373" s="1205">
        <v>0</v>
      </c>
      <c r="M1373" s="1207">
        <v>0</v>
      </c>
      <c r="N1373" s="1205">
        <v>1</v>
      </c>
      <c r="O1373" s="1205">
        <v>1</v>
      </c>
      <c r="P1373" s="1207">
        <v>4000</v>
      </c>
    </row>
    <row r="1374" spans="1:16" x14ac:dyDescent="0.2">
      <c r="A1374" s="1204" t="s">
        <v>2937</v>
      </c>
      <c r="B1374" s="1205" t="s">
        <v>2334</v>
      </c>
      <c r="C1374" s="1205" t="s">
        <v>1444</v>
      </c>
      <c r="D1374" s="1206" t="s">
        <v>3941</v>
      </c>
      <c r="E1374" s="1207">
        <v>800</v>
      </c>
      <c r="F1374" s="1208" t="s">
        <v>3942</v>
      </c>
      <c r="G1374" s="1212" t="s">
        <v>3943</v>
      </c>
      <c r="H1374" s="1212" t="s">
        <v>3941</v>
      </c>
      <c r="I1374" s="1209" t="s">
        <v>2940</v>
      </c>
      <c r="J1374" s="1206" t="s">
        <v>3941</v>
      </c>
      <c r="K1374" s="1205">
        <v>1</v>
      </c>
      <c r="L1374" s="1205">
        <v>6</v>
      </c>
      <c r="M1374" s="1207">
        <v>6000</v>
      </c>
      <c r="N1374" s="1205">
        <v>1</v>
      </c>
      <c r="O1374" s="1205">
        <v>6</v>
      </c>
      <c r="P1374" s="1207">
        <v>6000</v>
      </c>
    </row>
    <row r="1375" spans="1:16" x14ac:dyDescent="0.2">
      <c r="A1375" s="1204" t="s">
        <v>2937</v>
      </c>
      <c r="B1375" s="1205" t="s">
        <v>2334</v>
      </c>
      <c r="C1375" s="1205" t="s">
        <v>1444</v>
      </c>
      <c r="D1375" s="1206" t="s">
        <v>1651</v>
      </c>
      <c r="E1375" s="1207">
        <v>1125</v>
      </c>
      <c r="F1375" s="1208" t="s">
        <v>3944</v>
      </c>
      <c r="G1375" s="1206" t="s">
        <v>3945</v>
      </c>
      <c r="H1375" s="1206" t="s">
        <v>1651</v>
      </c>
      <c r="I1375" s="1209" t="s">
        <v>2940</v>
      </c>
      <c r="J1375" s="1206" t="s">
        <v>1651</v>
      </c>
      <c r="K1375" s="1205">
        <v>2</v>
      </c>
      <c r="L1375" s="1205">
        <v>6</v>
      </c>
      <c r="M1375" s="1207">
        <v>6750</v>
      </c>
      <c r="N1375" s="1205">
        <v>2</v>
      </c>
      <c r="O1375" s="1205">
        <v>6</v>
      </c>
      <c r="P1375" s="1207">
        <v>6750</v>
      </c>
    </row>
    <row r="1376" spans="1:16" x14ac:dyDescent="0.2">
      <c r="A1376" s="1204" t="s">
        <v>2937</v>
      </c>
      <c r="B1376" s="1205" t="s">
        <v>2334</v>
      </c>
      <c r="C1376" s="1205" t="s">
        <v>1444</v>
      </c>
      <c r="D1376" s="1206" t="s">
        <v>1834</v>
      </c>
      <c r="E1376" s="1207">
        <v>6000</v>
      </c>
      <c r="F1376" s="1208" t="s">
        <v>3946</v>
      </c>
      <c r="G1376" s="1206" t="s">
        <v>3947</v>
      </c>
      <c r="H1376" s="1206" t="s">
        <v>1834</v>
      </c>
      <c r="I1376" s="1209" t="s">
        <v>2940</v>
      </c>
      <c r="J1376" s="1206" t="s">
        <v>1834</v>
      </c>
      <c r="K1376" s="1205">
        <v>3</v>
      </c>
      <c r="L1376" s="1205">
        <v>6</v>
      </c>
      <c r="M1376" s="1207">
        <v>36000</v>
      </c>
      <c r="N1376" s="1205">
        <v>3</v>
      </c>
      <c r="O1376" s="1205">
        <v>6</v>
      </c>
      <c r="P1376" s="1207">
        <v>36000</v>
      </c>
    </row>
    <row r="1377" spans="1:16" ht="12.75" x14ac:dyDescent="0.2">
      <c r="A1377" s="1204" t="s">
        <v>2937</v>
      </c>
      <c r="B1377" s="1205" t="s">
        <v>2334</v>
      </c>
      <c r="C1377" s="1205" t="s">
        <v>1444</v>
      </c>
      <c r="D1377" s="1206" t="s">
        <v>1651</v>
      </c>
      <c r="E1377" s="1207">
        <v>1200</v>
      </c>
      <c r="F1377" s="1208" t="s">
        <v>3948</v>
      </c>
      <c r="G1377" s="1206" t="s">
        <v>3949</v>
      </c>
      <c r="H1377" s="1206" t="s">
        <v>1651</v>
      </c>
      <c r="I1377" s="1209" t="s">
        <v>2940</v>
      </c>
      <c r="J1377" s="1206" t="s">
        <v>1651</v>
      </c>
      <c r="K1377" s="1205">
        <v>2</v>
      </c>
      <c r="L1377" s="1205">
        <v>6</v>
      </c>
      <c r="M1377" s="1207">
        <v>7200</v>
      </c>
      <c r="N1377" s="1210">
        <v>2</v>
      </c>
      <c r="O1377" s="1210">
        <v>6</v>
      </c>
      <c r="P1377" s="1211">
        <v>7200</v>
      </c>
    </row>
    <row r="1378" spans="1:16" x14ac:dyDescent="0.2">
      <c r="A1378" s="1204" t="s">
        <v>2937</v>
      </c>
      <c r="B1378" s="1205" t="s">
        <v>2334</v>
      </c>
      <c r="C1378" s="1205" t="s">
        <v>1444</v>
      </c>
      <c r="D1378" s="1206" t="s">
        <v>904</v>
      </c>
      <c r="E1378" s="1207">
        <v>1000</v>
      </c>
      <c r="F1378" s="1208" t="s">
        <v>3950</v>
      </c>
      <c r="G1378" s="1206" t="s">
        <v>3951</v>
      </c>
      <c r="H1378" s="1206" t="s">
        <v>904</v>
      </c>
      <c r="I1378" s="1209" t="s">
        <v>2940</v>
      </c>
      <c r="J1378" s="1206" t="s">
        <v>904</v>
      </c>
      <c r="K1378" s="1205">
        <v>8</v>
      </c>
      <c r="L1378" s="1205">
        <v>6</v>
      </c>
      <c r="M1378" s="1207">
        <v>6000</v>
      </c>
      <c r="N1378" s="1205">
        <v>8</v>
      </c>
      <c r="O1378" s="1205">
        <v>6</v>
      </c>
      <c r="P1378" s="1207">
        <v>6000</v>
      </c>
    </row>
    <row r="1379" spans="1:16" x14ac:dyDescent="0.2">
      <c r="A1379" s="1204" t="s">
        <v>2937</v>
      </c>
      <c r="B1379" s="1205" t="s">
        <v>2334</v>
      </c>
      <c r="C1379" s="1205" t="s">
        <v>1444</v>
      </c>
      <c r="D1379" s="1206" t="s">
        <v>2337</v>
      </c>
      <c r="E1379" s="1207">
        <v>4000</v>
      </c>
      <c r="F1379" s="1208" t="s">
        <v>3952</v>
      </c>
      <c r="G1379" s="1206" t="s">
        <v>3953</v>
      </c>
      <c r="H1379" s="1206" t="s">
        <v>2337</v>
      </c>
      <c r="I1379" s="1209" t="s">
        <v>2940</v>
      </c>
      <c r="J1379" s="1206" t="s">
        <v>2337</v>
      </c>
      <c r="K1379" s="1205">
        <v>0</v>
      </c>
      <c r="L1379" s="1205">
        <v>0</v>
      </c>
      <c r="M1379" s="1207">
        <v>0</v>
      </c>
      <c r="N1379" s="1205">
        <v>1</v>
      </c>
      <c r="O1379" s="1205">
        <v>3</v>
      </c>
      <c r="P1379" s="1207">
        <v>12000</v>
      </c>
    </row>
    <row r="1380" spans="1:16" x14ac:dyDescent="0.2">
      <c r="A1380" s="1204" t="s">
        <v>2937</v>
      </c>
      <c r="B1380" s="1205" t="s">
        <v>2334</v>
      </c>
      <c r="C1380" s="1205" t="s">
        <v>1444</v>
      </c>
      <c r="D1380" s="1206" t="s">
        <v>2337</v>
      </c>
      <c r="E1380" s="1207">
        <v>4000</v>
      </c>
      <c r="F1380" s="1208" t="s">
        <v>3954</v>
      </c>
      <c r="G1380" s="1206" t="s">
        <v>3955</v>
      </c>
      <c r="H1380" s="1206" t="s">
        <v>2337</v>
      </c>
      <c r="I1380" s="1209" t="s">
        <v>2940</v>
      </c>
      <c r="J1380" s="1206" t="s">
        <v>2337</v>
      </c>
      <c r="K1380" s="1205">
        <v>0</v>
      </c>
      <c r="L1380" s="1205">
        <v>0</v>
      </c>
      <c r="M1380" s="1207">
        <v>0</v>
      </c>
      <c r="N1380" s="1205">
        <v>1</v>
      </c>
      <c r="O1380" s="1205">
        <v>1</v>
      </c>
      <c r="P1380" s="1207">
        <v>4000</v>
      </c>
    </row>
    <row r="1381" spans="1:16" x14ac:dyDescent="0.2">
      <c r="A1381" s="1204" t="s">
        <v>2937</v>
      </c>
      <c r="B1381" s="1205" t="s">
        <v>2334</v>
      </c>
      <c r="C1381" s="1205" t="s">
        <v>1444</v>
      </c>
      <c r="D1381" s="1206" t="s">
        <v>1834</v>
      </c>
      <c r="E1381" s="1207">
        <v>8000</v>
      </c>
      <c r="F1381" s="1208" t="s">
        <v>3956</v>
      </c>
      <c r="G1381" s="1206" t="s">
        <v>3957</v>
      </c>
      <c r="H1381" s="1206" t="s">
        <v>1834</v>
      </c>
      <c r="I1381" s="1209" t="s">
        <v>2940</v>
      </c>
      <c r="J1381" s="1206" t="s">
        <v>1834</v>
      </c>
      <c r="K1381" s="1205">
        <v>0</v>
      </c>
      <c r="L1381" s="1205">
        <v>0</v>
      </c>
      <c r="M1381" s="1207">
        <v>0</v>
      </c>
      <c r="N1381" s="1205">
        <v>1</v>
      </c>
      <c r="O1381" s="1205">
        <v>3</v>
      </c>
      <c r="P1381" s="1207">
        <v>24000</v>
      </c>
    </row>
    <row r="1382" spans="1:16" x14ac:dyDescent="0.2">
      <c r="A1382" s="1204" t="s">
        <v>2937</v>
      </c>
      <c r="B1382" s="1205" t="s">
        <v>2334</v>
      </c>
      <c r="C1382" s="1205" t="s">
        <v>1444</v>
      </c>
      <c r="D1382" s="1206" t="s">
        <v>1834</v>
      </c>
      <c r="E1382" s="1207">
        <v>6000</v>
      </c>
      <c r="F1382" s="1208" t="s">
        <v>3958</v>
      </c>
      <c r="G1382" s="1206" t="s">
        <v>3959</v>
      </c>
      <c r="H1382" s="1206" t="s">
        <v>1834</v>
      </c>
      <c r="I1382" s="1209" t="s">
        <v>2940</v>
      </c>
      <c r="J1382" s="1206" t="s">
        <v>1834</v>
      </c>
      <c r="K1382" s="1205">
        <v>0</v>
      </c>
      <c r="L1382" s="1205">
        <v>0</v>
      </c>
      <c r="M1382" s="1207">
        <v>0</v>
      </c>
      <c r="N1382" s="1205">
        <v>1</v>
      </c>
      <c r="O1382" s="1205">
        <v>6</v>
      </c>
      <c r="P1382" s="1207">
        <v>36000</v>
      </c>
    </row>
    <row r="1383" spans="1:16" x14ac:dyDescent="0.2">
      <c r="A1383" s="1204" t="s">
        <v>2937</v>
      </c>
      <c r="B1383" s="1205" t="s">
        <v>2334</v>
      </c>
      <c r="C1383" s="1205" t="s">
        <v>1444</v>
      </c>
      <c r="D1383" s="1206" t="s">
        <v>1651</v>
      </c>
      <c r="E1383" s="1207">
        <v>1200</v>
      </c>
      <c r="F1383" s="1208" t="s">
        <v>3960</v>
      </c>
      <c r="G1383" s="1206" t="s">
        <v>3961</v>
      </c>
      <c r="H1383" s="1206" t="s">
        <v>1651</v>
      </c>
      <c r="I1383" s="1209" t="s">
        <v>2940</v>
      </c>
      <c r="J1383" s="1206" t="s">
        <v>1651</v>
      </c>
      <c r="K1383" s="1205">
        <v>3</v>
      </c>
      <c r="L1383" s="1205">
        <v>6</v>
      </c>
      <c r="M1383" s="1207">
        <v>7200</v>
      </c>
      <c r="N1383" s="1205">
        <v>3</v>
      </c>
      <c r="O1383" s="1205">
        <v>6</v>
      </c>
      <c r="P1383" s="1207">
        <v>7200</v>
      </c>
    </row>
    <row r="1384" spans="1:16" x14ac:dyDescent="0.2">
      <c r="A1384" s="1204" t="s">
        <v>2937</v>
      </c>
      <c r="B1384" s="1205" t="s">
        <v>2334</v>
      </c>
      <c r="C1384" s="1205" t="s">
        <v>1444</v>
      </c>
      <c r="D1384" s="1206" t="s">
        <v>2565</v>
      </c>
      <c r="E1384" s="1207">
        <v>1200</v>
      </c>
      <c r="F1384" s="1208" t="s">
        <v>3962</v>
      </c>
      <c r="G1384" s="1206" t="s">
        <v>3963</v>
      </c>
      <c r="H1384" s="1206" t="s">
        <v>2565</v>
      </c>
      <c r="I1384" s="1209" t="s">
        <v>2940</v>
      </c>
      <c r="J1384" s="1206" t="s">
        <v>2565</v>
      </c>
      <c r="K1384" s="1205">
        <v>1</v>
      </c>
      <c r="L1384" s="1205">
        <v>6</v>
      </c>
      <c r="M1384" s="1207">
        <v>15000</v>
      </c>
      <c r="N1384" s="1205">
        <v>1</v>
      </c>
      <c r="O1384" s="1205">
        <v>6</v>
      </c>
      <c r="P1384" s="1207">
        <v>15000</v>
      </c>
    </row>
    <row r="1385" spans="1:16" ht="12.75" x14ac:dyDescent="0.2">
      <c r="A1385" s="1204" t="s">
        <v>2937</v>
      </c>
      <c r="B1385" s="1205" t="s">
        <v>2334</v>
      </c>
      <c r="C1385" s="1205" t="s">
        <v>1444</v>
      </c>
      <c r="D1385" s="1206" t="s">
        <v>1651</v>
      </c>
      <c r="E1385" s="1207">
        <v>1200</v>
      </c>
      <c r="F1385" s="1208" t="s">
        <v>3964</v>
      </c>
      <c r="G1385" s="1206" t="s">
        <v>3965</v>
      </c>
      <c r="H1385" s="1206" t="s">
        <v>1651</v>
      </c>
      <c r="I1385" s="1209" t="s">
        <v>2940</v>
      </c>
      <c r="J1385" s="1206" t="s">
        <v>1651</v>
      </c>
      <c r="K1385" s="1205">
        <v>2</v>
      </c>
      <c r="L1385" s="1205">
        <v>6</v>
      </c>
      <c r="M1385" s="1207">
        <v>7200</v>
      </c>
      <c r="N1385" s="1210">
        <v>2</v>
      </c>
      <c r="O1385" s="1210">
        <v>6</v>
      </c>
      <c r="P1385" s="1211">
        <v>7200</v>
      </c>
    </row>
    <row r="1386" spans="1:16" x14ac:dyDescent="0.2">
      <c r="A1386" s="1204" t="s">
        <v>2937</v>
      </c>
      <c r="B1386" s="1205" t="s">
        <v>2334</v>
      </c>
      <c r="C1386" s="1205" t="s">
        <v>1444</v>
      </c>
      <c r="D1386" s="1206" t="s">
        <v>1716</v>
      </c>
      <c r="E1386" s="1207">
        <v>2500</v>
      </c>
      <c r="F1386" s="1208" t="s">
        <v>3966</v>
      </c>
      <c r="G1386" s="1206" t="s">
        <v>3967</v>
      </c>
      <c r="H1386" s="1206" t="s">
        <v>1716</v>
      </c>
      <c r="I1386" s="1209" t="s">
        <v>2940</v>
      </c>
      <c r="J1386" s="1206" t="s">
        <v>1716</v>
      </c>
      <c r="K1386" s="1205">
        <v>0</v>
      </c>
      <c r="L1386" s="1205">
        <v>0</v>
      </c>
      <c r="M1386" s="1207">
        <v>0</v>
      </c>
      <c r="N1386" s="1205">
        <v>1</v>
      </c>
      <c r="O1386" s="1205">
        <v>1</v>
      </c>
      <c r="P1386" s="1207">
        <v>2500</v>
      </c>
    </row>
    <row r="1387" spans="1:16" x14ac:dyDescent="0.2">
      <c r="A1387" s="1204" t="s">
        <v>2937</v>
      </c>
      <c r="B1387" s="1205" t="s">
        <v>2334</v>
      </c>
      <c r="C1387" s="1205" t="s">
        <v>1444</v>
      </c>
      <c r="D1387" s="1206" t="s">
        <v>2337</v>
      </c>
      <c r="E1387" s="1207">
        <v>2200</v>
      </c>
      <c r="F1387" s="1208" t="s">
        <v>3968</v>
      </c>
      <c r="G1387" s="1206" t="s">
        <v>3969</v>
      </c>
      <c r="H1387" s="1206" t="s">
        <v>2337</v>
      </c>
      <c r="I1387" s="1209" t="s">
        <v>2940</v>
      </c>
      <c r="J1387" s="1206" t="s">
        <v>2337</v>
      </c>
      <c r="K1387" s="1205">
        <v>2</v>
      </c>
      <c r="L1387" s="1205">
        <v>6</v>
      </c>
      <c r="M1387" s="1207">
        <v>13200</v>
      </c>
      <c r="N1387" s="1205">
        <v>2</v>
      </c>
      <c r="O1387" s="1205">
        <v>6</v>
      </c>
      <c r="P1387" s="1207">
        <v>13200</v>
      </c>
    </row>
    <row r="1388" spans="1:16" x14ac:dyDescent="0.2">
      <c r="A1388" s="1204" t="s">
        <v>2937</v>
      </c>
      <c r="B1388" s="1205" t="s">
        <v>2334</v>
      </c>
      <c r="C1388" s="1205" t="s">
        <v>1444</v>
      </c>
      <c r="D1388" s="1206" t="s">
        <v>2337</v>
      </c>
      <c r="E1388" s="1207">
        <v>2200</v>
      </c>
      <c r="F1388" s="1208" t="s">
        <v>3970</v>
      </c>
      <c r="G1388" s="1206" t="s">
        <v>3971</v>
      </c>
      <c r="H1388" s="1206" t="s">
        <v>2337</v>
      </c>
      <c r="I1388" s="1209" t="s">
        <v>2940</v>
      </c>
      <c r="J1388" s="1206" t="s">
        <v>2337</v>
      </c>
      <c r="K1388" s="1205">
        <v>5</v>
      </c>
      <c r="L1388" s="1205">
        <v>6</v>
      </c>
      <c r="M1388" s="1207">
        <v>13200</v>
      </c>
      <c r="N1388" s="1205">
        <v>5</v>
      </c>
      <c r="O1388" s="1205">
        <v>6</v>
      </c>
      <c r="P1388" s="1207">
        <v>13200</v>
      </c>
    </row>
    <row r="1389" spans="1:16" x14ac:dyDescent="0.2">
      <c r="A1389" s="1204" t="s">
        <v>2937</v>
      </c>
      <c r="B1389" s="1205" t="s">
        <v>2334</v>
      </c>
      <c r="C1389" s="1205" t="s">
        <v>1444</v>
      </c>
      <c r="D1389" s="1206" t="s">
        <v>1758</v>
      </c>
      <c r="E1389" s="1207">
        <v>4000</v>
      </c>
      <c r="F1389" s="1208" t="s">
        <v>3972</v>
      </c>
      <c r="G1389" s="1206" t="s">
        <v>3973</v>
      </c>
      <c r="H1389" s="1206" t="s">
        <v>1758</v>
      </c>
      <c r="I1389" s="1209" t="s">
        <v>2940</v>
      </c>
      <c r="J1389" s="1206" t="s">
        <v>1758</v>
      </c>
      <c r="K1389" s="1205">
        <v>0</v>
      </c>
      <c r="L1389" s="1205">
        <v>0</v>
      </c>
      <c r="M1389" s="1207">
        <v>0</v>
      </c>
      <c r="N1389" s="1205">
        <v>1</v>
      </c>
      <c r="O1389" s="1205">
        <v>1</v>
      </c>
      <c r="P1389" s="1207">
        <v>4000</v>
      </c>
    </row>
    <row r="1390" spans="1:16" ht="12.75" x14ac:dyDescent="0.2">
      <c r="A1390" s="1204" t="s">
        <v>2937</v>
      </c>
      <c r="B1390" s="1205" t="s">
        <v>2334</v>
      </c>
      <c r="C1390" s="1205" t="s">
        <v>1444</v>
      </c>
      <c r="D1390" s="1206" t="s">
        <v>1834</v>
      </c>
      <c r="E1390" s="1207">
        <v>6000</v>
      </c>
      <c r="F1390" s="1208" t="s">
        <v>3974</v>
      </c>
      <c r="G1390" s="1206" t="s">
        <v>3975</v>
      </c>
      <c r="H1390" s="1206" t="s">
        <v>1834</v>
      </c>
      <c r="I1390" s="1209" t="s">
        <v>2940</v>
      </c>
      <c r="J1390" s="1206" t="s">
        <v>1834</v>
      </c>
      <c r="K1390" s="1205">
        <v>2</v>
      </c>
      <c r="L1390" s="1205">
        <v>6</v>
      </c>
      <c r="M1390" s="1207">
        <v>36000</v>
      </c>
      <c r="N1390" s="1210">
        <v>2</v>
      </c>
      <c r="O1390" s="1210">
        <v>6</v>
      </c>
      <c r="P1390" s="1211">
        <v>36000</v>
      </c>
    </row>
    <row r="1391" spans="1:16" x14ac:dyDescent="0.2">
      <c r="A1391" s="1204" t="s">
        <v>2937</v>
      </c>
      <c r="B1391" s="1205" t="s">
        <v>2334</v>
      </c>
      <c r="C1391" s="1205" t="s">
        <v>1444</v>
      </c>
      <c r="D1391" s="1206" t="s">
        <v>2844</v>
      </c>
      <c r="E1391" s="1207">
        <v>4000</v>
      </c>
      <c r="F1391" s="1208" t="s">
        <v>3976</v>
      </c>
      <c r="G1391" s="1206" t="s">
        <v>3977</v>
      </c>
      <c r="H1391" s="1206" t="s">
        <v>2844</v>
      </c>
      <c r="I1391" s="1209" t="s">
        <v>2940</v>
      </c>
      <c r="J1391" s="1206" t="s">
        <v>2844</v>
      </c>
      <c r="K1391" s="1205">
        <v>0</v>
      </c>
      <c r="L1391" s="1205">
        <v>0</v>
      </c>
      <c r="M1391" s="1207">
        <v>0</v>
      </c>
      <c r="N1391" s="1205">
        <v>1</v>
      </c>
      <c r="O1391" s="1205">
        <v>2</v>
      </c>
      <c r="P1391" s="1207">
        <v>8000</v>
      </c>
    </row>
    <row r="1392" spans="1:16" x14ac:dyDescent="0.2">
      <c r="A1392" s="1204" t="s">
        <v>2937</v>
      </c>
      <c r="B1392" s="1205" t="s">
        <v>2334</v>
      </c>
      <c r="C1392" s="1205" t="s">
        <v>1444</v>
      </c>
      <c r="D1392" s="1206" t="s">
        <v>1834</v>
      </c>
      <c r="E1392" s="1207">
        <v>6000</v>
      </c>
      <c r="F1392" s="1208" t="s">
        <v>3978</v>
      </c>
      <c r="G1392" s="1206" t="s">
        <v>3979</v>
      </c>
      <c r="H1392" s="1206" t="s">
        <v>1834</v>
      </c>
      <c r="I1392" s="1209" t="s">
        <v>2940</v>
      </c>
      <c r="J1392" s="1206" t="s">
        <v>1834</v>
      </c>
      <c r="K1392" s="1205">
        <v>0</v>
      </c>
      <c r="L1392" s="1205">
        <v>0</v>
      </c>
      <c r="M1392" s="1207">
        <v>0</v>
      </c>
      <c r="N1392" s="1205">
        <v>1</v>
      </c>
      <c r="O1392" s="1205">
        <v>6</v>
      </c>
      <c r="P1392" s="1207">
        <v>36000</v>
      </c>
    </row>
    <row r="1393" spans="1:16" x14ac:dyDescent="0.2">
      <c r="A1393" s="1204" t="s">
        <v>2937</v>
      </c>
      <c r="B1393" s="1205" t="s">
        <v>2334</v>
      </c>
      <c r="C1393" s="1205" t="s">
        <v>1444</v>
      </c>
      <c r="D1393" s="1206" t="s">
        <v>2792</v>
      </c>
      <c r="E1393" s="1207">
        <v>1600</v>
      </c>
      <c r="F1393" s="1208" t="s">
        <v>3980</v>
      </c>
      <c r="G1393" s="1206" t="s">
        <v>3981</v>
      </c>
      <c r="H1393" s="1206" t="s">
        <v>2792</v>
      </c>
      <c r="I1393" s="1209" t="s">
        <v>2940</v>
      </c>
      <c r="J1393" s="1206" t="s">
        <v>2792</v>
      </c>
      <c r="K1393" s="1205">
        <v>0</v>
      </c>
      <c r="L1393" s="1205">
        <v>0</v>
      </c>
      <c r="M1393" s="1207">
        <v>0</v>
      </c>
      <c r="N1393" s="1205">
        <v>1</v>
      </c>
      <c r="O1393" s="1205">
        <v>6</v>
      </c>
      <c r="P1393" s="1207">
        <v>9600</v>
      </c>
    </row>
    <row r="1394" spans="1:16" x14ac:dyDescent="0.2">
      <c r="A1394" s="1204" t="s">
        <v>2937</v>
      </c>
      <c r="B1394" s="1205" t="s">
        <v>2334</v>
      </c>
      <c r="C1394" s="1205" t="s">
        <v>1444</v>
      </c>
      <c r="D1394" s="1206" t="s">
        <v>904</v>
      </c>
      <c r="E1394" s="1207">
        <v>1200</v>
      </c>
      <c r="F1394" s="1208" t="s">
        <v>3982</v>
      </c>
      <c r="G1394" s="1206" t="s">
        <v>3983</v>
      </c>
      <c r="H1394" s="1206" t="s">
        <v>904</v>
      </c>
      <c r="I1394" s="1209" t="s">
        <v>2940</v>
      </c>
      <c r="J1394" s="1206" t="s">
        <v>904</v>
      </c>
      <c r="K1394" s="1205">
        <v>1</v>
      </c>
      <c r="L1394" s="1205">
        <v>6</v>
      </c>
      <c r="M1394" s="1207">
        <v>7200</v>
      </c>
      <c r="N1394" s="1205">
        <v>1</v>
      </c>
      <c r="O1394" s="1205"/>
      <c r="P1394" s="1207">
        <v>0</v>
      </c>
    </row>
    <row r="1395" spans="1:16" ht="12.75" x14ac:dyDescent="0.2">
      <c r="A1395" s="1204" t="s">
        <v>2937</v>
      </c>
      <c r="B1395" s="1205" t="s">
        <v>2334</v>
      </c>
      <c r="C1395" s="1205" t="s">
        <v>1444</v>
      </c>
      <c r="D1395" s="1206" t="s">
        <v>1651</v>
      </c>
      <c r="E1395" s="1207">
        <v>1200</v>
      </c>
      <c r="F1395" s="1208" t="s">
        <v>3984</v>
      </c>
      <c r="G1395" s="1206" t="s">
        <v>3985</v>
      </c>
      <c r="H1395" s="1206" t="s">
        <v>1651</v>
      </c>
      <c r="I1395" s="1209" t="s">
        <v>2940</v>
      </c>
      <c r="J1395" s="1206" t="s">
        <v>1651</v>
      </c>
      <c r="K1395" s="1205">
        <v>2</v>
      </c>
      <c r="L1395" s="1205">
        <v>6</v>
      </c>
      <c r="M1395" s="1207">
        <v>7200</v>
      </c>
      <c r="N1395" s="1210">
        <v>2</v>
      </c>
      <c r="O1395" s="1210">
        <v>6</v>
      </c>
      <c r="P1395" s="1211">
        <v>7200</v>
      </c>
    </row>
    <row r="1396" spans="1:16" x14ac:dyDescent="0.2">
      <c r="A1396" s="1204" t="s">
        <v>2937</v>
      </c>
      <c r="B1396" s="1205" t="s">
        <v>2334</v>
      </c>
      <c r="C1396" s="1205" t="s">
        <v>1444</v>
      </c>
      <c r="D1396" s="1206" t="s">
        <v>1651</v>
      </c>
      <c r="E1396" s="1207">
        <v>3000</v>
      </c>
      <c r="F1396" s="1208" t="s">
        <v>3986</v>
      </c>
      <c r="G1396" s="1206" t="s">
        <v>3987</v>
      </c>
      <c r="H1396" s="1206" t="s">
        <v>1651</v>
      </c>
      <c r="I1396" s="1209" t="s">
        <v>2940</v>
      </c>
      <c r="J1396" s="1206" t="s">
        <v>1651</v>
      </c>
      <c r="K1396" s="1205">
        <v>0</v>
      </c>
      <c r="L1396" s="1205">
        <v>0</v>
      </c>
      <c r="M1396" s="1207">
        <v>0</v>
      </c>
      <c r="N1396" s="1205">
        <v>1</v>
      </c>
      <c r="O1396" s="1205">
        <v>3</v>
      </c>
      <c r="P1396" s="1207">
        <v>9000</v>
      </c>
    </row>
    <row r="1397" spans="1:16" x14ac:dyDescent="0.2">
      <c r="A1397" s="1204" t="s">
        <v>2937</v>
      </c>
      <c r="B1397" s="1205" t="s">
        <v>2334</v>
      </c>
      <c r="C1397" s="1205" t="s">
        <v>1444</v>
      </c>
      <c r="D1397" s="1206" t="s">
        <v>2430</v>
      </c>
      <c r="E1397" s="1207">
        <v>1060</v>
      </c>
      <c r="F1397" s="1208" t="s">
        <v>3988</v>
      </c>
      <c r="G1397" s="1206" t="s">
        <v>3989</v>
      </c>
      <c r="H1397" s="1206" t="s">
        <v>2430</v>
      </c>
      <c r="I1397" s="1209" t="s">
        <v>2940</v>
      </c>
      <c r="J1397" s="1206" t="s">
        <v>2430</v>
      </c>
      <c r="K1397" s="1205">
        <v>0</v>
      </c>
      <c r="L1397" s="1205">
        <v>0</v>
      </c>
      <c r="M1397" s="1207">
        <v>0</v>
      </c>
      <c r="N1397" s="1205">
        <v>1</v>
      </c>
      <c r="O1397" s="1205">
        <v>6</v>
      </c>
      <c r="P1397" s="1207">
        <v>6360</v>
      </c>
    </row>
    <row r="1398" spans="1:16" x14ac:dyDescent="0.2">
      <c r="A1398" s="1204" t="s">
        <v>2937</v>
      </c>
      <c r="B1398" s="1205" t="s">
        <v>2334</v>
      </c>
      <c r="C1398" s="1205" t="s">
        <v>1444</v>
      </c>
      <c r="D1398" s="1206" t="s">
        <v>2430</v>
      </c>
      <c r="E1398" s="1207">
        <v>1060</v>
      </c>
      <c r="F1398" s="1208" t="s">
        <v>3990</v>
      </c>
      <c r="G1398" s="1206" t="s">
        <v>3991</v>
      </c>
      <c r="H1398" s="1206" t="s">
        <v>2430</v>
      </c>
      <c r="I1398" s="1209" t="s">
        <v>2940</v>
      </c>
      <c r="J1398" s="1206" t="s">
        <v>2430</v>
      </c>
      <c r="K1398" s="1205">
        <v>2</v>
      </c>
      <c r="L1398" s="1205">
        <v>6</v>
      </c>
      <c r="M1398" s="1207">
        <v>6360</v>
      </c>
      <c r="N1398" s="1205">
        <v>2</v>
      </c>
      <c r="O1398" s="1205">
        <v>6</v>
      </c>
      <c r="P1398" s="1207">
        <v>6360</v>
      </c>
    </row>
    <row r="1399" spans="1:16" x14ac:dyDescent="0.2">
      <c r="A1399" s="1204" t="s">
        <v>2937</v>
      </c>
      <c r="B1399" s="1205" t="s">
        <v>2334</v>
      </c>
      <c r="C1399" s="1205" t="s">
        <v>1444</v>
      </c>
      <c r="D1399" s="1206" t="s">
        <v>3992</v>
      </c>
      <c r="E1399" s="1207">
        <v>1700</v>
      </c>
      <c r="F1399" s="1208" t="s">
        <v>3993</v>
      </c>
      <c r="G1399" s="1206" t="s">
        <v>3994</v>
      </c>
      <c r="H1399" s="1206" t="s">
        <v>2047</v>
      </c>
      <c r="I1399" s="1209" t="s">
        <v>2940</v>
      </c>
      <c r="J1399" s="1206" t="s">
        <v>2047</v>
      </c>
      <c r="K1399" s="1205">
        <v>3</v>
      </c>
      <c r="L1399" s="1205">
        <v>6</v>
      </c>
      <c r="M1399" s="1207">
        <v>10200</v>
      </c>
      <c r="N1399" s="1205">
        <v>3</v>
      </c>
      <c r="O1399" s="1205">
        <v>6</v>
      </c>
      <c r="P1399" s="1207">
        <v>10200</v>
      </c>
    </row>
    <row r="1400" spans="1:16" ht="12.75" x14ac:dyDescent="0.2">
      <c r="A1400" s="1204" t="s">
        <v>2937</v>
      </c>
      <c r="B1400" s="1205" t="s">
        <v>2334</v>
      </c>
      <c r="C1400" s="1205" t="s">
        <v>1444</v>
      </c>
      <c r="D1400" s="1206" t="s">
        <v>1834</v>
      </c>
      <c r="E1400" s="1207">
        <v>6000</v>
      </c>
      <c r="F1400" s="1208" t="s">
        <v>3995</v>
      </c>
      <c r="G1400" s="1206" t="s">
        <v>3996</v>
      </c>
      <c r="H1400" s="1206" t="s">
        <v>1834</v>
      </c>
      <c r="I1400" s="1209" t="s">
        <v>2940</v>
      </c>
      <c r="J1400" s="1206" t="s">
        <v>1834</v>
      </c>
      <c r="K1400" s="1205">
        <v>2</v>
      </c>
      <c r="L1400" s="1205">
        <v>6</v>
      </c>
      <c r="M1400" s="1207">
        <v>36000</v>
      </c>
      <c r="N1400" s="1210">
        <v>2</v>
      </c>
      <c r="O1400" s="1210">
        <v>6</v>
      </c>
      <c r="P1400" s="1211">
        <v>36000</v>
      </c>
    </row>
    <row r="1401" spans="1:16" x14ac:dyDescent="0.2">
      <c r="A1401" s="1204" t="s">
        <v>2937</v>
      </c>
      <c r="B1401" s="1205" t="s">
        <v>2334</v>
      </c>
      <c r="C1401" s="1205" t="s">
        <v>1444</v>
      </c>
      <c r="D1401" s="1206" t="s">
        <v>2430</v>
      </c>
      <c r="E1401" s="1207">
        <v>1060</v>
      </c>
      <c r="F1401" s="1208" t="s">
        <v>3997</v>
      </c>
      <c r="G1401" s="1206" t="s">
        <v>3998</v>
      </c>
      <c r="H1401" s="1206" t="s">
        <v>2430</v>
      </c>
      <c r="I1401" s="1209" t="s">
        <v>2940</v>
      </c>
      <c r="J1401" s="1206" t="s">
        <v>2430</v>
      </c>
      <c r="K1401" s="1205">
        <v>2</v>
      </c>
      <c r="L1401" s="1205">
        <v>6</v>
      </c>
      <c r="M1401" s="1207">
        <v>6360</v>
      </c>
      <c r="N1401" s="1205">
        <v>2</v>
      </c>
      <c r="O1401" s="1205">
        <v>6</v>
      </c>
      <c r="P1401" s="1207">
        <v>6360</v>
      </c>
    </row>
    <row r="1402" spans="1:16" x14ac:dyDescent="0.2">
      <c r="A1402" s="1204" t="s">
        <v>2937</v>
      </c>
      <c r="B1402" s="1205" t="s">
        <v>2334</v>
      </c>
      <c r="C1402" s="1205" t="s">
        <v>1444</v>
      </c>
      <c r="D1402" s="1206" t="s">
        <v>2337</v>
      </c>
      <c r="E1402" s="1207">
        <v>4000</v>
      </c>
      <c r="F1402" s="1208" t="s">
        <v>3999</v>
      </c>
      <c r="G1402" s="1206" t="s">
        <v>4000</v>
      </c>
      <c r="H1402" s="1206" t="s">
        <v>2337</v>
      </c>
      <c r="I1402" s="1209" t="s">
        <v>2940</v>
      </c>
      <c r="J1402" s="1206" t="s">
        <v>2337</v>
      </c>
      <c r="K1402" s="1205">
        <v>0</v>
      </c>
      <c r="L1402" s="1205">
        <v>0</v>
      </c>
      <c r="M1402" s="1207">
        <v>0</v>
      </c>
      <c r="N1402" s="1205">
        <v>1</v>
      </c>
      <c r="O1402" s="1205">
        <v>3</v>
      </c>
      <c r="P1402" s="1207">
        <v>12000</v>
      </c>
    </row>
    <row r="1403" spans="1:16" x14ac:dyDescent="0.2">
      <c r="A1403" s="1204" t="s">
        <v>2937</v>
      </c>
      <c r="B1403" s="1205" t="s">
        <v>2334</v>
      </c>
      <c r="C1403" s="1205" t="s">
        <v>1444</v>
      </c>
      <c r="D1403" s="1206" t="s">
        <v>1651</v>
      </c>
      <c r="E1403" s="1207">
        <v>1125</v>
      </c>
      <c r="F1403" s="1208" t="s">
        <v>4001</v>
      </c>
      <c r="G1403" s="1206" t="s">
        <v>4002</v>
      </c>
      <c r="H1403" s="1206" t="s">
        <v>1651</v>
      </c>
      <c r="I1403" s="1209" t="s">
        <v>2940</v>
      </c>
      <c r="J1403" s="1206" t="s">
        <v>1651</v>
      </c>
      <c r="K1403" s="1205">
        <v>1</v>
      </c>
      <c r="L1403" s="1205">
        <v>6</v>
      </c>
      <c r="M1403" s="1207">
        <v>6750</v>
      </c>
      <c r="N1403" s="1205">
        <v>1</v>
      </c>
      <c r="O1403" s="1205"/>
      <c r="P1403" s="1207">
        <v>0</v>
      </c>
    </row>
    <row r="1404" spans="1:16" x14ac:dyDescent="0.2">
      <c r="A1404" s="1204" t="s">
        <v>2937</v>
      </c>
      <c r="B1404" s="1205" t="s">
        <v>2334</v>
      </c>
      <c r="C1404" s="1205" t="s">
        <v>1444</v>
      </c>
      <c r="D1404" s="1206" t="s">
        <v>1716</v>
      </c>
      <c r="E1404" s="1207">
        <v>2500</v>
      </c>
      <c r="F1404" s="1208" t="s">
        <v>4003</v>
      </c>
      <c r="G1404" s="1206" t="s">
        <v>4004</v>
      </c>
      <c r="H1404" s="1206" t="s">
        <v>1716</v>
      </c>
      <c r="I1404" s="1209" t="s">
        <v>2940</v>
      </c>
      <c r="J1404" s="1206" t="s">
        <v>1716</v>
      </c>
      <c r="K1404" s="1205">
        <v>0</v>
      </c>
      <c r="L1404" s="1205">
        <v>0</v>
      </c>
      <c r="M1404" s="1207">
        <v>0</v>
      </c>
      <c r="N1404" s="1205">
        <v>1</v>
      </c>
      <c r="O1404" s="1205">
        <v>1</v>
      </c>
      <c r="P1404" s="1207">
        <v>2500</v>
      </c>
    </row>
    <row r="1405" spans="1:16" x14ac:dyDescent="0.2">
      <c r="A1405" s="1204" t="s">
        <v>2937</v>
      </c>
      <c r="B1405" s="1205" t="s">
        <v>2334</v>
      </c>
      <c r="C1405" s="1205" t="s">
        <v>1444</v>
      </c>
      <c r="D1405" s="1206" t="s">
        <v>1716</v>
      </c>
      <c r="E1405" s="1207">
        <v>2500</v>
      </c>
      <c r="F1405" s="1208" t="s">
        <v>4005</v>
      </c>
      <c r="G1405" s="1206" t="s">
        <v>4006</v>
      </c>
      <c r="H1405" s="1206" t="s">
        <v>1716</v>
      </c>
      <c r="I1405" s="1209" t="s">
        <v>2940</v>
      </c>
      <c r="J1405" s="1206" t="s">
        <v>1716</v>
      </c>
      <c r="K1405" s="1205">
        <v>0</v>
      </c>
      <c r="L1405" s="1205">
        <v>0</v>
      </c>
      <c r="M1405" s="1207">
        <v>0</v>
      </c>
      <c r="N1405" s="1205">
        <v>1</v>
      </c>
      <c r="O1405" s="1205">
        <v>1</v>
      </c>
      <c r="P1405" s="1207">
        <v>2500</v>
      </c>
    </row>
    <row r="1406" spans="1:16" x14ac:dyDescent="0.2">
      <c r="A1406" s="1204" t="s">
        <v>2937</v>
      </c>
      <c r="B1406" s="1205" t="s">
        <v>2334</v>
      </c>
      <c r="C1406" s="1205" t="s">
        <v>1444</v>
      </c>
      <c r="D1406" s="1206" t="s">
        <v>1758</v>
      </c>
      <c r="E1406" s="1207">
        <v>2200</v>
      </c>
      <c r="F1406" s="1208" t="s">
        <v>4007</v>
      </c>
      <c r="G1406" s="1206" t="s">
        <v>4008</v>
      </c>
      <c r="H1406" s="1206" t="s">
        <v>1758</v>
      </c>
      <c r="I1406" s="1209" t="s">
        <v>2940</v>
      </c>
      <c r="J1406" s="1206" t="s">
        <v>1758</v>
      </c>
      <c r="K1406" s="1205">
        <v>0</v>
      </c>
      <c r="L1406" s="1205">
        <v>0</v>
      </c>
      <c r="M1406" s="1207">
        <v>0</v>
      </c>
      <c r="N1406" s="1205">
        <v>1</v>
      </c>
      <c r="O1406" s="1205">
        <v>6</v>
      </c>
      <c r="P1406" s="1207">
        <v>13200</v>
      </c>
    </row>
    <row r="1407" spans="1:16" ht="12.75" x14ac:dyDescent="0.2">
      <c r="A1407" s="1204" t="s">
        <v>2937</v>
      </c>
      <c r="B1407" s="1205" t="s">
        <v>2334</v>
      </c>
      <c r="C1407" s="1205" t="s">
        <v>1444</v>
      </c>
      <c r="D1407" s="1206" t="s">
        <v>2337</v>
      </c>
      <c r="E1407" s="1207">
        <v>2200</v>
      </c>
      <c r="F1407" s="1208" t="s">
        <v>4009</v>
      </c>
      <c r="G1407" s="1206" t="s">
        <v>4010</v>
      </c>
      <c r="H1407" s="1206" t="s">
        <v>2337</v>
      </c>
      <c r="I1407" s="1209" t="s">
        <v>2940</v>
      </c>
      <c r="J1407" s="1206" t="s">
        <v>2337</v>
      </c>
      <c r="K1407" s="1205">
        <v>2</v>
      </c>
      <c r="L1407" s="1205">
        <v>6</v>
      </c>
      <c r="M1407" s="1207">
        <v>13200</v>
      </c>
      <c r="N1407" s="1210">
        <v>2</v>
      </c>
      <c r="O1407" s="1210">
        <v>6</v>
      </c>
      <c r="P1407" s="1211">
        <v>13200</v>
      </c>
    </row>
    <row r="1408" spans="1:16" ht="12.75" x14ac:dyDescent="0.2">
      <c r="A1408" s="1204" t="s">
        <v>2937</v>
      </c>
      <c r="B1408" s="1205" t="s">
        <v>2334</v>
      </c>
      <c r="C1408" s="1205" t="s">
        <v>1444</v>
      </c>
      <c r="D1408" s="1206" t="s">
        <v>2684</v>
      </c>
      <c r="E1408" s="1207">
        <v>5000</v>
      </c>
      <c r="F1408" s="1208" t="s">
        <v>4011</v>
      </c>
      <c r="G1408" s="1206" t="s">
        <v>4012</v>
      </c>
      <c r="H1408" s="1206" t="s">
        <v>2684</v>
      </c>
      <c r="I1408" s="1209" t="s">
        <v>2940</v>
      </c>
      <c r="J1408" s="1206" t="s">
        <v>2684</v>
      </c>
      <c r="K1408" s="1205">
        <v>2</v>
      </c>
      <c r="L1408" s="1205">
        <v>6</v>
      </c>
      <c r="M1408" s="1207">
        <v>30000</v>
      </c>
      <c r="N1408" s="1210">
        <v>2</v>
      </c>
      <c r="O1408" s="1210">
        <v>6</v>
      </c>
      <c r="P1408" s="1211">
        <v>30000</v>
      </c>
    </row>
    <row r="1409" spans="1:16" x14ac:dyDescent="0.2">
      <c r="A1409" s="1204" t="s">
        <v>2937</v>
      </c>
      <c r="B1409" s="1205" t="s">
        <v>2334</v>
      </c>
      <c r="C1409" s="1205" t="s">
        <v>1444</v>
      </c>
      <c r="D1409" s="1206" t="s">
        <v>1651</v>
      </c>
      <c r="E1409" s="1207">
        <v>1125</v>
      </c>
      <c r="F1409" s="1208" t="s">
        <v>4013</v>
      </c>
      <c r="G1409" s="1206" t="s">
        <v>4014</v>
      </c>
      <c r="H1409" s="1206" t="s">
        <v>1651</v>
      </c>
      <c r="I1409" s="1209" t="s">
        <v>2940</v>
      </c>
      <c r="J1409" s="1206" t="s">
        <v>1651</v>
      </c>
      <c r="K1409" s="1205">
        <v>2</v>
      </c>
      <c r="L1409" s="1205">
        <v>6</v>
      </c>
      <c r="M1409" s="1207">
        <v>6750</v>
      </c>
      <c r="N1409" s="1205">
        <v>2</v>
      </c>
      <c r="O1409" s="1205">
        <v>6</v>
      </c>
      <c r="P1409" s="1207">
        <v>6750</v>
      </c>
    </row>
    <row r="1410" spans="1:16" x14ac:dyDescent="0.2">
      <c r="A1410" s="1204" t="s">
        <v>2937</v>
      </c>
      <c r="B1410" s="1205" t="s">
        <v>2334</v>
      </c>
      <c r="C1410" s="1205" t="s">
        <v>1444</v>
      </c>
      <c r="D1410" s="1206" t="s">
        <v>2337</v>
      </c>
      <c r="E1410" s="1207">
        <v>4000</v>
      </c>
      <c r="F1410" s="1208" t="s">
        <v>4015</v>
      </c>
      <c r="G1410" s="1206" t="s">
        <v>4016</v>
      </c>
      <c r="H1410" s="1206" t="s">
        <v>2337</v>
      </c>
      <c r="I1410" s="1209" t="s">
        <v>2940</v>
      </c>
      <c r="J1410" s="1206" t="s">
        <v>2337</v>
      </c>
      <c r="K1410" s="1205">
        <v>0</v>
      </c>
      <c r="L1410" s="1205">
        <v>0</v>
      </c>
      <c r="M1410" s="1207">
        <v>0</v>
      </c>
      <c r="N1410" s="1205">
        <v>1</v>
      </c>
      <c r="O1410" s="1205">
        <v>2</v>
      </c>
      <c r="P1410" s="1207">
        <v>8000</v>
      </c>
    </row>
    <row r="1411" spans="1:16" x14ac:dyDescent="0.2">
      <c r="A1411" s="1204" t="s">
        <v>2937</v>
      </c>
      <c r="B1411" s="1205" t="s">
        <v>2334</v>
      </c>
      <c r="C1411" s="1205" t="s">
        <v>1444</v>
      </c>
      <c r="D1411" s="1206" t="s">
        <v>1656</v>
      </c>
      <c r="E1411" s="1207">
        <v>2500</v>
      </c>
      <c r="F1411" s="1208" t="s">
        <v>4017</v>
      </c>
      <c r="G1411" s="1206" t="s">
        <v>4018</v>
      </c>
      <c r="H1411" s="1206" t="s">
        <v>1656</v>
      </c>
      <c r="I1411" s="1209" t="s">
        <v>2940</v>
      </c>
      <c r="J1411" s="1206" t="s">
        <v>1656</v>
      </c>
      <c r="K1411" s="1205">
        <v>0</v>
      </c>
      <c r="L1411" s="1205">
        <v>0</v>
      </c>
      <c r="M1411" s="1207">
        <v>0</v>
      </c>
      <c r="N1411" s="1205">
        <v>1</v>
      </c>
      <c r="O1411" s="1205">
        <v>3</v>
      </c>
      <c r="P1411" s="1207">
        <v>7500</v>
      </c>
    </row>
    <row r="1412" spans="1:16" x14ac:dyDescent="0.2">
      <c r="A1412" s="1204" t="s">
        <v>2937</v>
      </c>
      <c r="B1412" s="1205" t="s">
        <v>2334</v>
      </c>
      <c r="C1412" s="1205" t="s">
        <v>1444</v>
      </c>
      <c r="D1412" s="1206" t="s">
        <v>1651</v>
      </c>
      <c r="E1412" s="1207">
        <v>3000</v>
      </c>
      <c r="F1412" s="1208" t="s">
        <v>4019</v>
      </c>
      <c r="G1412" s="1206" t="s">
        <v>4020</v>
      </c>
      <c r="H1412" s="1206" t="s">
        <v>1651</v>
      </c>
      <c r="I1412" s="1209" t="s">
        <v>2940</v>
      </c>
      <c r="J1412" s="1206" t="s">
        <v>1651</v>
      </c>
      <c r="K1412" s="1205">
        <v>0</v>
      </c>
      <c r="L1412" s="1205">
        <v>0</v>
      </c>
      <c r="M1412" s="1207">
        <v>0</v>
      </c>
      <c r="N1412" s="1205">
        <v>1</v>
      </c>
      <c r="O1412" s="1205">
        <v>3</v>
      </c>
      <c r="P1412" s="1207">
        <v>9000</v>
      </c>
    </row>
    <row r="1413" spans="1:16" x14ac:dyDescent="0.2">
      <c r="A1413" s="1204" t="s">
        <v>2937</v>
      </c>
      <c r="B1413" s="1205" t="s">
        <v>2334</v>
      </c>
      <c r="C1413" s="1205" t="s">
        <v>1444</v>
      </c>
      <c r="D1413" s="1206" t="s">
        <v>1716</v>
      </c>
      <c r="E1413" s="1207">
        <v>2500</v>
      </c>
      <c r="F1413" s="1208" t="s">
        <v>4021</v>
      </c>
      <c r="G1413" s="1206" t="s">
        <v>4022</v>
      </c>
      <c r="H1413" s="1206" t="s">
        <v>1716</v>
      </c>
      <c r="I1413" s="1209" t="s">
        <v>2940</v>
      </c>
      <c r="J1413" s="1206" t="s">
        <v>1716</v>
      </c>
      <c r="K1413" s="1205">
        <v>0</v>
      </c>
      <c r="L1413" s="1205">
        <v>0</v>
      </c>
      <c r="M1413" s="1207">
        <v>0</v>
      </c>
      <c r="N1413" s="1205">
        <v>1</v>
      </c>
      <c r="O1413" s="1205">
        <v>1</v>
      </c>
      <c r="P1413" s="1207">
        <v>2500</v>
      </c>
    </row>
    <row r="1414" spans="1:16" x14ac:dyDescent="0.2">
      <c r="A1414" s="1204" t="s">
        <v>2937</v>
      </c>
      <c r="B1414" s="1205" t="s">
        <v>2334</v>
      </c>
      <c r="C1414" s="1205" t="s">
        <v>1444</v>
      </c>
      <c r="D1414" s="1206" t="s">
        <v>1834</v>
      </c>
      <c r="E1414" s="1207">
        <v>8000</v>
      </c>
      <c r="F1414" s="1208" t="s">
        <v>4023</v>
      </c>
      <c r="G1414" s="1206" t="s">
        <v>4024</v>
      </c>
      <c r="H1414" s="1206" t="s">
        <v>1834</v>
      </c>
      <c r="I1414" s="1209" t="s">
        <v>2940</v>
      </c>
      <c r="J1414" s="1206" t="s">
        <v>1834</v>
      </c>
      <c r="K1414" s="1205">
        <v>0</v>
      </c>
      <c r="L1414" s="1205">
        <v>0</v>
      </c>
      <c r="M1414" s="1207">
        <v>0</v>
      </c>
      <c r="N1414" s="1205">
        <v>1</v>
      </c>
      <c r="O1414" s="1205">
        <v>3</v>
      </c>
      <c r="P1414" s="1207">
        <v>24000</v>
      </c>
    </row>
    <row r="1415" spans="1:16" x14ac:dyDescent="0.2">
      <c r="A1415" s="1204" t="s">
        <v>2937</v>
      </c>
      <c r="B1415" s="1205" t="s">
        <v>2334</v>
      </c>
      <c r="C1415" s="1205" t="s">
        <v>1444</v>
      </c>
      <c r="D1415" s="1206" t="s">
        <v>1834</v>
      </c>
      <c r="E1415" s="1207">
        <v>8000</v>
      </c>
      <c r="F1415" s="1208" t="s">
        <v>4025</v>
      </c>
      <c r="G1415" s="1206" t="s">
        <v>4026</v>
      </c>
      <c r="H1415" s="1206" t="s">
        <v>1834</v>
      </c>
      <c r="I1415" s="1209" t="s">
        <v>2940</v>
      </c>
      <c r="J1415" s="1206" t="s">
        <v>1834</v>
      </c>
      <c r="K1415" s="1205">
        <v>0</v>
      </c>
      <c r="L1415" s="1205">
        <v>0</v>
      </c>
      <c r="M1415" s="1207">
        <v>0</v>
      </c>
      <c r="N1415" s="1205">
        <v>1</v>
      </c>
      <c r="O1415" s="1205">
        <v>3</v>
      </c>
      <c r="P1415" s="1207">
        <v>24000</v>
      </c>
    </row>
    <row r="1416" spans="1:16" x14ac:dyDescent="0.2">
      <c r="A1416" s="1204" t="s">
        <v>2937</v>
      </c>
      <c r="B1416" s="1205" t="s">
        <v>2334</v>
      </c>
      <c r="C1416" s="1205" t="s">
        <v>1444</v>
      </c>
      <c r="D1416" s="1206" t="s">
        <v>1651</v>
      </c>
      <c r="E1416" s="1207">
        <v>3000</v>
      </c>
      <c r="F1416" s="1208" t="s">
        <v>4027</v>
      </c>
      <c r="G1416" s="1206" t="s">
        <v>4028</v>
      </c>
      <c r="H1416" s="1206" t="s">
        <v>1651</v>
      </c>
      <c r="I1416" s="1209" t="s">
        <v>2940</v>
      </c>
      <c r="J1416" s="1206" t="s">
        <v>1651</v>
      </c>
      <c r="K1416" s="1205">
        <v>0</v>
      </c>
      <c r="L1416" s="1205">
        <v>0</v>
      </c>
      <c r="M1416" s="1207">
        <v>0</v>
      </c>
      <c r="N1416" s="1205">
        <v>1</v>
      </c>
      <c r="O1416" s="1205">
        <v>1</v>
      </c>
      <c r="P1416" s="1207">
        <v>3000</v>
      </c>
    </row>
    <row r="1417" spans="1:16" x14ac:dyDescent="0.2">
      <c r="A1417" s="1204" t="s">
        <v>2937</v>
      </c>
      <c r="B1417" s="1205" t="s">
        <v>2334</v>
      </c>
      <c r="C1417" s="1205" t="s">
        <v>1444</v>
      </c>
      <c r="D1417" s="1206" t="s">
        <v>1651</v>
      </c>
      <c r="E1417" s="1207">
        <v>1125</v>
      </c>
      <c r="F1417" s="1208" t="s">
        <v>4029</v>
      </c>
      <c r="G1417" s="1206" t="s">
        <v>4030</v>
      </c>
      <c r="H1417" s="1206" t="s">
        <v>1651</v>
      </c>
      <c r="I1417" s="1209" t="s">
        <v>2940</v>
      </c>
      <c r="J1417" s="1206" t="s">
        <v>1651</v>
      </c>
      <c r="K1417" s="1205">
        <v>2</v>
      </c>
      <c r="L1417" s="1205">
        <v>6</v>
      </c>
      <c r="M1417" s="1207">
        <v>6750</v>
      </c>
      <c r="N1417" s="1205">
        <v>2</v>
      </c>
      <c r="O1417" s="1205">
        <v>6</v>
      </c>
      <c r="P1417" s="1207">
        <v>6750</v>
      </c>
    </row>
    <row r="1418" spans="1:16" x14ac:dyDescent="0.2">
      <c r="A1418" s="1204" t="s">
        <v>2937</v>
      </c>
      <c r="B1418" s="1205" t="s">
        <v>2334</v>
      </c>
      <c r="C1418" s="1205" t="s">
        <v>1444</v>
      </c>
      <c r="D1418" s="1206" t="s">
        <v>1834</v>
      </c>
      <c r="E1418" s="1207">
        <v>6000</v>
      </c>
      <c r="F1418" s="1208" t="s">
        <v>4031</v>
      </c>
      <c r="G1418" s="1206" t="s">
        <v>4032</v>
      </c>
      <c r="H1418" s="1206" t="s">
        <v>1834</v>
      </c>
      <c r="I1418" s="1209" t="s">
        <v>2940</v>
      </c>
      <c r="J1418" s="1206" t="s">
        <v>1834</v>
      </c>
      <c r="K1418" s="1205">
        <v>1</v>
      </c>
      <c r="L1418" s="1205">
        <v>6</v>
      </c>
      <c r="M1418" s="1207">
        <v>36000</v>
      </c>
      <c r="N1418" s="1205">
        <v>1</v>
      </c>
      <c r="O1418" s="1205"/>
      <c r="P1418" s="1207">
        <v>0</v>
      </c>
    </row>
    <row r="1419" spans="1:16" x14ac:dyDescent="0.2">
      <c r="A1419" s="1204" t="s">
        <v>2937</v>
      </c>
      <c r="B1419" s="1205" t="s">
        <v>2334</v>
      </c>
      <c r="C1419" s="1205" t="s">
        <v>1444</v>
      </c>
      <c r="D1419" s="1206" t="s">
        <v>2337</v>
      </c>
      <c r="E1419" s="1207">
        <v>2200</v>
      </c>
      <c r="F1419" s="1208" t="s">
        <v>4033</v>
      </c>
      <c r="G1419" s="1206" t="s">
        <v>4034</v>
      </c>
      <c r="H1419" s="1206" t="s">
        <v>2337</v>
      </c>
      <c r="I1419" s="1209" t="s">
        <v>2940</v>
      </c>
      <c r="J1419" s="1206" t="s">
        <v>2337</v>
      </c>
      <c r="K1419" s="1205">
        <v>2</v>
      </c>
      <c r="L1419" s="1205">
        <v>6</v>
      </c>
      <c r="M1419" s="1207">
        <v>13200</v>
      </c>
      <c r="N1419" s="1205">
        <v>2</v>
      </c>
      <c r="O1419" s="1205">
        <v>6</v>
      </c>
      <c r="P1419" s="1207">
        <v>13200</v>
      </c>
    </row>
    <row r="1420" spans="1:16" x14ac:dyDescent="0.2">
      <c r="A1420" s="1204" t="s">
        <v>2937</v>
      </c>
      <c r="B1420" s="1205" t="s">
        <v>2334</v>
      </c>
      <c r="C1420" s="1205" t="s">
        <v>1444</v>
      </c>
      <c r="D1420" s="1206" t="s">
        <v>1834</v>
      </c>
      <c r="E1420" s="1207">
        <v>6000</v>
      </c>
      <c r="F1420" s="1208" t="s">
        <v>4035</v>
      </c>
      <c r="G1420" s="1206" t="s">
        <v>4036</v>
      </c>
      <c r="H1420" s="1206" t="s">
        <v>1834</v>
      </c>
      <c r="I1420" s="1209" t="s">
        <v>2940</v>
      </c>
      <c r="J1420" s="1206" t="s">
        <v>1834</v>
      </c>
      <c r="K1420" s="1205">
        <v>2</v>
      </c>
      <c r="L1420" s="1205">
        <v>6</v>
      </c>
      <c r="M1420" s="1207">
        <v>36000</v>
      </c>
      <c r="N1420" s="1205">
        <v>2</v>
      </c>
      <c r="O1420" s="1205">
        <v>6</v>
      </c>
      <c r="P1420" s="1207">
        <v>36000</v>
      </c>
    </row>
    <row r="1421" spans="1:16" x14ac:dyDescent="0.2">
      <c r="A1421" s="1204" t="s">
        <v>2937</v>
      </c>
      <c r="B1421" s="1205" t="s">
        <v>2334</v>
      </c>
      <c r="C1421" s="1205" t="s">
        <v>1444</v>
      </c>
      <c r="D1421" s="1206" t="s">
        <v>1834</v>
      </c>
      <c r="E1421" s="1207">
        <v>6000</v>
      </c>
      <c r="F1421" s="1208" t="s">
        <v>4037</v>
      </c>
      <c r="G1421" s="1206" t="s">
        <v>4038</v>
      </c>
      <c r="H1421" s="1206" t="s">
        <v>1834</v>
      </c>
      <c r="I1421" s="1209" t="s">
        <v>2940</v>
      </c>
      <c r="J1421" s="1206" t="s">
        <v>1834</v>
      </c>
      <c r="K1421" s="1205">
        <v>2</v>
      </c>
      <c r="L1421" s="1205">
        <v>6</v>
      </c>
      <c r="M1421" s="1207">
        <v>36000</v>
      </c>
      <c r="N1421" s="1205">
        <v>2</v>
      </c>
      <c r="O1421" s="1205">
        <v>6</v>
      </c>
      <c r="P1421" s="1207">
        <v>36000</v>
      </c>
    </row>
    <row r="1422" spans="1:16" x14ac:dyDescent="0.2">
      <c r="A1422" s="1204" t="s">
        <v>2937</v>
      </c>
      <c r="B1422" s="1205" t="s">
        <v>2334</v>
      </c>
      <c r="C1422" s="1205" t="s">
        <v>1444</v>
      </c>
      <c r="D1422" s="1206" t="s">
        <v>2792</v>
      </c>
      <c r="E1422" s="1207">
        <v>2000</v>
      </c>
      <c r="F1422" s="1208" t="s">
        <v>4039</v>
      </c>
      <c r="G1422" s="1206" t="s">
        <v>4040</v>
      </c>
      <c r="H1422" s="1206" t="s">
        <v>2792</v>
      </c>
      <c r="I1422" s="1209" t="s">
        <v>2940</v>
      </c>
      <c r="J1422" s="1206" t="s">
        <v>2792</v>
      </c>
      <c r="K1422" s="1205">
        <v>0</v>
      </c>
      <c r="L1422" s="1205">
        <v>0</v>
      </c>
      <c r="M1422" s="1207">
        <v>0</v>
      </c>
      <c r="N1422" s="1205">
        <v>1</v>
      </c>
      <c r="O1422" s="1205">
        <v>3</v>
      </c>
      <c r="P1422" s="1207">
        <v>6000</v>
      </c>
    </row>
    <row r="1423" spans="1:16" x14ac:dyDescent="0.2">
      <c r="A1423" s="1204" t="s">
        <v>2937</v>
      </c>
      <c r="B1423" s="1205" t="s">
        <v>2334</v>
      </c>
      <c r="C1423" s="1205" t="s">
        <v>1444</v>
      </c>
      <c r="D1423" s="1206" t="s">
        <v>2337</v>
      </c>
      <c r="E1423" s="1207">
        <v>2200</v>
      </c>
      <c r="F1423" s="1208" t="s">
        <v>4041</v>
      </c>
      <c r="G1423" s="1206" t="s">
        <v>4042</v>
      </c>
      <c r="H1423" s="1206" t="s">
        <v>2337</v>
      </c>
      <c r="I1423" s="1209" t="s">
        <v>2940</v>
      </c>
      <c r="J1423" s="1206" t="s">
        <v>2337</v>
      </c>
      <c r="K1423" s="1205">
        <v>2</v>
      </c>
      <c r="L1423" s="1205">
        <v>6</v>
      </c>
      <c r="M1423" s="1207">
        <v>13200</v>
      </c>
      <c r="N1423" s="1205">
        <v>2</v>
      </c>
      <c r="O1423" s="1205">
        <v>6</v>
      </c>
      <c r="P1423" s="1207">
        <v>13200</v>
      </c>
    </row>
    <row r="1424" spans="1:16" x14ac:dyDescent="0.2">
      <c r="A1424" s="1204" t="s">
        <v>2937</v>
      </c>
      <c r="B1424" s="1205" t="s">
        <v>2334</v>
      </c>
      <c r="C1424" s="1205" t="s">
        <v>1444</v>
      </c>
      <c r="D1424" s="1206" t="s">
        <v>2792</v>
      </c>
      <c r="E1424" s="1207">
        <v>2000</v>
      </c>
      <c r="F1424" s="1208" t="s">
        <v>4043</v>
      </c>
      <c r="G1424" s="1206" t="s">
        <v>4044</v>
      </c>
      <c r="H1424" s="1206" t="s">
        <v>2792</v>
      </c>
      <c r="I1424" s="1209" t="s">
        <v>2940</v>
      </c>
      <c r="J1424" s="1206" t="s">
        <v>2792</v>
      </c>
      <c r="K1424" s="1205">
        <v>0</v>
      </c>
      <c r="L1424" s="1205">
        <v>0</v>
      </c>
      <c r="M1424" s="1207">
        <v>0</v>
      </c>
      <c r="N1424" s="1205">
        <v>1</v>
      </c>
      <c r="O1424" s="1205">
        <v>3</v>
      </c>
      <c r="P1424" s="1207">
        <v>6000</v>
      </c>
    </row>
    <row r="1425" spans="1:16" ht="12.75" x14ac:dyDescent="0.2">
      <c r="A1425" s="1204" t="s">
        <v>2937</v>
      </c>
      <c r="B1425" s="1205" t="s">
        <v>2334</v>
      </c>
      <c r="C1425" s="1205" t="s">
        <v>1444</v>
      </c>
      <c r="D1425" s="1206" t="s">
        <v>1834</v>
      </c>
      <c r="E1425" s="1207">
        <v>6000</v>
      </c>
      <c r="F1425" s="1208" t="s">
        <v>4045</v>
      </c>
      <c r="G1425" s="1206" t="s">
        <v>4046</v>
      </c>
      <c r="H1425" s="1206" t="s">
        <v>1834</v>
      </c>
      <c r="I1425" s="1209" t="s">
        <v>2940</v>
      </c>
      <c r="J1425" s="1206" t="s">
        <v>1834</v>
      </c>
      <c r="K1425" s="1205">
        <v>2</v>
      </c>
      <c r="L1425" s="1205">
        <v>6</v>
      </c>
      <c r="M1425" s="1207">
        <v>36000</v>
      </c>
      <c r="N1425" s="1210">
        <v>2</v>
      </c>
      <c r="O1425" s="1210">
        <v>6</v>
      </c>
      <c r="P1425" s="1211">
        <v>36000</v>
      </c>
    </row>
    <row r="1426" spans="1:16" x14ac:dyDescent="0.2">
      <c r="A1426" s="1204" t="s">
        <v>2937</v>
      </c>
      <c r="B1426" s="1205" t="s">
        <v>2334</v>
      </c>
      <c r="C1426" s="1205" t="s">
        <v>1444</v>
      </c>
      <c r="D1426" s="1206" t="s">
        <v>1834</v>
      </c>
      <c r="E1426" s="1207">
        <v>6000</v>
      </c>
      <c r="F1426" s="1208" t="s">
        <v>4047</v>
      </c>
      <c r="G1426" s="1206" t="s">
        <v>4048</v>
      </c>
      <c r="H1426" s="1206" t="s">
        <v>1834</v>
      </c>
      <c r="I1426" s="1209" t="s">
        <v>2940</v>
      </c>
      <c r="J1426" s="1206" t="s">
        <v>1834</v>
      </c>
      <c r="K1426" s="1205">
        <v>2</v>
      </c>
      <c r="L1426" s="1205">
        <v>6</v>
      </c>
      <c r="M1426" s="1207">
        <v>36000</v>
      </c>
      <c r="N1426" s="1205">
        <v>2</v>
      </c>
      <c r="O1426" s="1205">
        <v>6</v>
      </c>
      <c r="P1426" s="1207">
        <v>36000</v>
      </c>
    </row>
    <row r="1427" spans="1:16" x14ac:dyDescent="0.2">
      <c r="A1427" s="1204" t="s">
        <v>2937</v>
      </c>
      <c r="B1427" s="1205" t="s">
        <v>2334</v>
      </c>
      <c r="C1427" s="1205" t="s">
        <v>1444</v>
      </c>
      <c r="D1427" s="1206" t="s">
        <v>2792</v>
      </c>
      <c r="E1427" s="1207">
        <v>2000</v>
      </c>
      <c r="F1427" s="1208" t="s">
        <v>4049</v>
      </c>
      <c r="G1427" s="1206" t="s">
        <v>4050</v>
      </c>
      <c r="H1427" s="1206" t="s">
        <v>2792</v>
      </c>
      <c r="I1427" s="1209" t="s">
        <v>2940</v>
      </c>
      <c r="J1427" s="1206" t="s">
        <v>2792</v>
      </c>
      <c r="K1427" s="1205">
        <v>0</v>
      </c>
      <c r="L1427" s="1205">
        <v>0</v>
      </c>
      <c r="M1427" s="1207">
        <v>0</v>
      </c>
      <c r="N1427" s="1205">
        <v>1</v>
      </c>
      <c r="O1427" s="1205">
        <v>3</v>
      </c>
      <c r="P1427" s="1207">
        <v>6000</v>
      </c>
    </row>
    <row r="1428" spans="1:16" x14ac:dyDescent="0.2">
      <c r="A1428" s="1204" t="s">
        <v>2937</v>
      </c>
      <c r="B1428" s="1205" t="s">
        <v>2334</v>
      </c>
      <c r="C1428" s="1205" t="s">
        <v>1444</v>
      </c>
      <c r="D1428" s="1206" t="s">
        <v>1834</v>
      </c>
      <c r="E1428" s="1207">
        <v>6000</v>
      </c>
      <c r="F1428" s="1208" t="s">
        <v>4051</v>
      </c>
      <c r="G1428" s="1206" t="s">
        <v>4052</v>
      </c>
      <c r="H1428" s="1206" t="s">
        <v>1834</v>
      </c>
      <c r="I1428" s="1209" t="s">
        <v>2940</v>
      </c>
      <c r="J1428" s="1206" t="s">
        <v>1834</v>
      </c>
      <c r="K1428" s="1205">
        <v>1</v>
      </c>
      <c r="L1428" s="1205">
        <v>6</v>
      </c>
      <c r="M1428" s="1207">
        <v>36000</v>
      </c>
      <c r="N1428" s="1205">
        <v>1</v>
      </c>
      <c r="O1428" s="1205"/>
      <c r="P1428" s="1207">
        <v>0</v>
      </c>
    </row>
    <row r="1429" spans="1:16" x14ac:dyDescent="0.2">
      <c r="A1429" s="1204" t="s">
        <v>2937</v>
      </c>
      <c r="B1429" s="1205" t="s">
        <v>2334</v>
      </c>
      <c r="C1429" s="1205" t="s">
        <v>1444</v>
      </c>
      <c r="D1429" s="1206" t="s">
        <v>904</v>
      </c>
      <c r="E1429" s="1207">
        <v>1060</v>
      </c>
      <c r="F1429" s="1208" t="s">
        <v>4053</v>
      </c>
      <c r="G1429" s="1206" t="s">
        <v>4054</v>
      </c>
      <c r="H1429" s="1206" t="s">
        <v>904</v>
      </c>
      <c r="I1429" s="1209" t="s">
        <v>2940</v>
      </c>
      <c r="J1429" s="1206" t="s">
        <v>904</v>
      </c>
      <c r="K1429" s="1205">
        <v>5</v>
      </c>
      <c r="L1429" s="1205">
        <v>6</v>
      </c>
      <c r="M1429" s="1207">
        <v>6360</v>
      </c>
      <c r="N1429" s="1205">
        <v>5</v>
      </c>
      <c r="O1429" s="1205">
        <v>6</v>
      </c>
      <c r="P1429" s="1207">
        <v>6360</v>
      </c>
    </row>
    <row r="1430" spans="1:16" ht="12.75" x14ac:dyDescent="0.2">
      <c r="A1430" s="1204" t="s">
        <v>2937</v>
      </c>
      <c r="B1430" s="1205" t="s">
        <v>2334</v>
      </c>
      <c r="C1430" s="1205" t="s">
        <v>1444</v>
      </c>
      <c r="D1430" s="1206" t="s">
        <v>613</v>
      </c>
      <c r="E1430" s="1207">
        <v>2500</v>
      </c>
      <c r="F1430" s="1208" t="s">
        <v>4055</v>
      </c>
      <c r="G1430" s="1206" t="s">
        <v>4056</v>
      </c>
      <c r="H1430" s="1206" t="s">
        <v>613</v>
      </c>
      <c r="I1430" s="1209" t="s">
        <v>2940</v>
      </c>
      <c r="J1430" s="1206" t="s">
        <v>613</v>
      </c>
      <c r="K1430" s="1205">
        <v>2</v>
      </c>
      <c r="L1430" s="1205">
        <v>6</v>
      </c>
      <c r="M1430" s="1207">
        <v>15000</v>
      </c>
      <c r="N1430" s="1210">
        <v>2</v>
      </c>
      <c r="O1430" s="1210">
        <v>6</v>
      </c>
      <c r="P1430" s="1211">
        <v>15000</v>
      </c>
    </row>
    <row r="1431" spans="1:16" x14ac:dyDescent="0.2">
      <c r="A1431" s="1204" t="s">
        <v>2937</v>
      </c>
      <c r="B1431" s="1205" t="s">
        <v>2334</v>
      </c>
      <c r="C1431" s="1205" t="s">
        <v>1444</v>
      </c>
      <c r="D1431" s="1206" t="s">
        <v>2565</v>
      </c>
      <c r="E1431" s="1207">
        <v>1125</v>
      </c>
      <c r="F1431" s="1208" t="s">
        <v>4057</v>
      </c>
      <c r="G1431" s="1206" t="s">
        <v>4058</v>
      </c>
      <c r="H1431" s="1206" t="s">
        <v>2565</v>
      </c>
      <c r="I1431" s="1209" t="s">
        <v>2940</v>
      </c>
      <c r="J1431" s="1206" t="s">
        <v>2565</v>
      </c>
      <c r="K1431" s="1205">
        <v>3</v>
      </c>
      <c r="L1431" s="1205">
        <v>6</v>
      </c>
      <c r="M1431" s="1207">
        <v>7200</v>
      </c>
      <c r="N1431" s="1205">
        <v>3</v>
      </c>
      <c r="O1431" s="1205">
        <v>6</v>
      </c>
      <c r="P1431" s="1207">
        <v>7200</v>
      </c>
    </row>
    <row r="1432" spans="1:16" x14ac:dyDescent="0.2">
      <c r="A1432" s="1204" t="s">
        <v>2937</v>
      </c>
      <c r="B1432" s="1205" t="s">
        <v>2334</v>
      </c>
      <c r="C1432" s="1205" t="s">
        <v>1444</v>
      </c>
      <c r="D1432" s="1206" t="s">
        <v>1834</v>
      </c>
      <c r="E1432" s="1207">
        <v>6000</v>
      </c>
      <c r="F1432" s="1208" t="s">
        <v>4059</v>
      </c>
      <c r="G1432" s="1206" t="s">
        <v>4060</v>
      </c>
      <c r="H1432" s="1206" t="s">
        <v>1834</v>
      </c>
      <c r="I1432" s="1209" t="s">
        <v>2940</v>
      </c>
      <c r="J1432" s="1206" t="s">
        <v>1834</v>
      </c>
      <c r="K1432" s="1205">
        <v>2</v>
      </c>
      <c r="L1432" s="1205">
        <v>6</v>
      </c>
      <c r="M1432" s="1207">
        <v>36000</v>
      </c>
      <c r="N1432" s="1205">
        <v>2</v>
      </c>
      <c r="O1432" s="1205">
        <v>6</v>
      </c>
      <c r="P1432" s="1207">
        <v>36000</v>
      </c>
    </row>
    <row r="1433" spans="1:16" x14ac:dyDescent="0.2">
      <c r="A1433" s="1204" t="s">
        <v>2937</v>
      </c>
      <c r="B1433" s="1205" t="s">
        <v>2334</v>
      </c>
      <c r="C1433" s="1205" t="s">
        <v>1444</v>
      </c>
      <c r="D1433" s="1206" t="s">
        <v>613</v>
      </c>
      <c r="E1433" s="1207">
        <v>1060</v>
      </c>
      <c r="F1433" s="1208" t="s">
        <v>4061</v>
      </c>
      <c r="G1433" s="1206" t="s">
        <v>4062</v>
      </c>
      <c r="H1433" s="1206" t="s">
        <v>613</v>
      </c>
      <c r="I1433" s="1209" t="s">
        <v>2940</v>
      </c>
      <c r="J1433" s="1206" t="s">
        <v>613</v>
      </c>
      <c r="K1433" s="1205">
        <v>0</v>
      </c>
      <c r="L1433" s="1205">
        <v>0</v>
      </c>
      <c r="M1433" s="1207">
        <v>0</v>
      </c>
      <c r="N1433" s="1205">
        <v>1</v>
      </c>
      <c r="O1433" s="1205">
        <v>6</v>
      </c>
      <c r="P1433" s="1207">
        <v>6360</v>
      </c>
    </row>
    <row r="1434" spans="1:16" x14ac:dyDescent="0.2">
      <c r="A1434" s="1204" t="s">
        <v>2937</v>
      </c>
      <c r="B1434" s="1205" t="s">
        <v>2334</v>
      </c>
      <c r="C1434" s="1205" t="s">
        <v>1444</v>
      </c>
      <c r="D1434" s="1206" t="s">
        <v>2337</v>
      </c>
      <c r="E1434" s="1207">
        <v>2200</v>
      </c>
      <c r="F1434" s="1208" t="s">
        <v>4063</v>
      </c>
      <c r="G1434" s="1206" t="s">
        <v>4064</v>
      </c>
      <c r="H1434" s="1206" t="s">
        <v>2337</v>
      </c>
      <c r="I1434" s="1209" t="s">
        <v>2940</v>
      </c>
      <c r="J1434" s="1206" t="s">
        <v>2337</v>
      </c>
      <c r="K1434" s="1205">
        <v>0</v>
      </c>
      <c r="L1434" s="1205">
        <v>0</v>
      </c>
      <c r="M1434" s="1207">
        <v>0</v>
      </c>
      <c r="N1434" s="1205">
        <v>1</v>
      </c>
      <c r="O1434" s="1205">
        <v>6</v>
      </c>
      <c r="P1434" s="1207">
        <v>13200</v>
      </c>
    </row>
    <row r="1435" spans="1:16" x14ac:dyDescent="0.2">
      <c r="A1435" s="1204" t="s">
        <v>2937</v>
      </c>
      <c r="B1435" s="1205" t="s">
        <v>2334</v>
      </c>
      <c r="C1435" s="1205" t="s">
        <v>1444</v>
      </c>
      <c r="D1435" s="1206" t="s">
        <v>1651</v>
      </c>
      <c r="E1435" s="1207">
        <v>3000</v>
      </c>
      <c r="F1435" s="1208" t="s">
        <v>4065</v>
      </c>
      <c r="G1435" s="1206" t="s">
        <v>4066</v>
      </c>
      <c r="H1435" s="1206" t="s">
        <v>1651</v>
      </c>
      <c r="I1435" s="1209" t="s">
        <v>2940</v>
      </c>
      <c r="J1435" s="1206" t="s">
        <v>1651</v>
      </c>
      <c r="K1435" s="1205">
        <v>0</v>
      </c>
      <c r="L1435" s="1205">
        <v>0</v>
      </c>
      <c r="M1435" s="1207">
        <v>0</v>
      </c>
      <c r="N1435" s="1205">
        <v>1</v>
      </c>
      <c r="O1435" s="1205">
        <v>1</v>
      </c>
      <c r="P1435" s="1207">
        <v>3000</v>
      </c>
    </row>
    <row r="1436" spans="1:16" x14ac:dyDescent="0.2">
      <c r="A1436" s="1204" t="s">
        <v>2937</v>
      </c>
      <c r="B1436" s="1205" t="s">
        <v>2334</v>
      </c>
      <c r="C1436" s="1205" t="s">
        <v>1444</v>
      </c>
      <c r="D1436" s="1206" t="s">
        <v>613</v>
      </c>
      <c r="E1436" s="1207">
        <v>1060</v>
      </c>
      <c r="F1436" s="1208" t="s">
        <v>4067</v>
      </c>
      <c r="G1436" s="1206" t="s">
        <v>4068</v>
      </c>
      <c r="H1436" s="1206" t="s">
        <v>613</v>
      </c>
      <c r="I1436" s="1209" t="s">
        <v>2940</v>
      </c>
      <c r="J1436" s="1206" t="s">
        <v>613</v>
      </c>
      <c r="K1436" s="1205">
        <v>10</v>
      </c>
      <c r="L1436" s="1205">
        <v>6</v>
      </c>
      <c r="M1436" s="1207">
        <v>6360</v>
      </c>
      <c r="N1436" s="1205">
        <v>10</v>
      </c>
      <c r="O1436" s="1205">
        <v>6</v>
      </c>
      <c r="P1436" s="1207">
        <v>6360</v>
      </c>
    </row>
    <row r="1437" spans="1:16" x14ac:dyDescent="0.2">
      <c r="A1437" s="1204" t="s">
        <v>2937</v>
      </c>
      <c r="B1437" s="1205" t="s">
        <v>2334</v>
      </c>
      <c r="C1437" s="1205" t="s">
        <v>1444</v>
      </c>
      <c r="D1437" s="1206" t="s">
        <v>1651</v>
      </c>
      <c r="E1437" s="1207">
        <v>1125</v>
      </c>
      <c r="F1437" s="1208" t="s">
        <v>4069</v>
      </c>
      <c r="G1437" s="1206" t="s">
        <v>4070</v>
      </c>
      <c r="H1437" s="1206" t="s">
        <v>1651</v>
      </c>
      <c r="I1437" s="1209" t="s">
        <v>2940</v>
      </c>
      <c r="J1437" s="1206" t="s">
        <v>1651</v>
      </c>
      <c r="K1437" s="1205">
        <v>2</v>
      </c>
      <c r="L1437" s="1205">
        <v>6</v>
      </c>
      <c r="M1437" s="1207">
        <v>6750</v>
      </c>
      <c r="N1437" s="1205">
        <v>2</v>
      </c>
      <c r="O1437" s="1205">
        <v>6</v>
      </c>
      <c r="P1437" s="1207">
        <v>6750</v>
      </c>
    </row>
    <row r="1438" spans="1:16" x14ac:dyDescent="0.2">
      <c r="A1438" s="1204" t="s">
        <v>2937</v>
      </c>
      <c r="B1438" s="1205" t="s">
        <v>2334</v>
      </c>
      <c r="C1438" s="1205" t="s">
        <v>1444</v>
      </c>
      <c r="D1438" s="1206" t="s">
        <v>1834</v>
      </c>
      <c r="E1438" s="1207">
        <v>6000</v>
      </c>
      <c r="F1438" s="1208" t="s">
        <v>4071</v>
      </c>
      <c r="G1438" s="1206" t="s">
        <v>4072</v>
      </c>
      <c r="H1438" s="1206" t="s">
        <v>1834</v>
      </c>
      <c r="I1438" s="1209" t="s">
        <v>2940</v>
      </c>
      <c r="J1438" s="1206" t="s">
        <v>1834</v>
      </c>
      <c r="K1438" s="1205">
        <v>3</v>
      </c>
      <c r="L1438" s="1205">
        <v>6</v>
      </c>
      <c r="M1438" s="1207">
        <v>36000</v>
      </c>
      <c r="N1438" s="1205">
        <v>3</v>
      </c>
      <c r="O1438" s="1205">
        <v>6</v>
      </c>
      <c r="P1438" s="1207">
        <v>36000</v>
      </c>
    </row>
    <row r="1439" spans="1:16" x14ac:dyDescent="0.2">
      <c r="A1439" s="1204" t="s">
        <v>2937</v>
      </c>
      <c r="B1439" s="1205" t="s">
        <v>2334</v>
      </c>
      <c r="C1439" s="1205" t="s">
        <v>1444</v>
      </c>
      <c r="D1439" s="1206" t="s">
        <v>1651</v>
      </c>
      <c r="E1439" s="1207">
        <v>3000</v>
      </c>
      <c r="F1439" s="1208" t="s">
        <v>4073</v>
      </c>
      <c r="G1439" s="1206" t="s">
        <v>4074</v>
      </c>
      <c r="H1439" s="1206" t="s">
        <v>1651</v>
      </c>
      <c r="I1439" s="1209" t="s">
        <v>2940</v>
      </c>
      <c r="J1439" s="1206" t="s">
        <v>1651</v>
      </c>
      <c r="K1439" s="1205">
        <v>0</v>
      </c>
      <c r="L1439" s="1205">
        <v>0</v>
      </c>
      <c r="M1439" s="1207">
        <v>0</v>
      </c>
      <c r="N1439" s="1205">
        <v>1</v>
      </c>
      <c r="O1439" s="1205">
        <v>1</v>
      </c>
      <c r="P1439" s="1207">
        <v>3000</v>
      </c>
    </row>
    <row r="1440" spans="1:16" x14ac:dyDescent="0.2">
      <c r="A1440" s="1204" t="s">
        <v>2937</v>
      </c>
      <c r="B1440" s="1205" t="s">
        <v>2334</v>
      </c>
      <c r="C1440" s="1205" t="s">
        <v>1444</v>
      </c>
      <c r="D1440" s="1206" t="s">
        <v>1651</v>
      </c>
      <c r="E1440" s="1207">
        <v>3000</v>
      </c>
      <c r="F1440" s="1208" t="s">
        <v>4075</v>
      </c>
      <c r="G1440" s="1206" t="s">
        <v>4076</v>
      </c>
      <c r="H1440" s="1206" t="s">
        <v>1651</v>
      </c>
      <c r="I1440" s="1209" t="s">
        <v>2940</v>
      </c>
      <c r="J1440" s="1206" t="s">
        <v>1651</v>
      </c>
      <c r="K1440" s="1205">
        <v>0</v>
      </c>
      <c r="L1440" s="1205">
        <v>0</v>
      </c>
      <c r="M1440" s="1207">
        <v>0</v>
      </c>
      <c r="N1440" s="1205">
        <v>1</v>
      </c>
      <c r="O1440" s="1205">
        <v>2</v>
      </c>
      <c r="P1440" s="1207">
        <v>6000</v>
      </c>
    </row>
    <row r="1441" spans="1:16" x14ac:dyDescent="0.2">
      <c r="A1441" s="1204" t="s">
        <v>2937</v>
      </c>
      <c r="B1441" s="1205" t="s">
        <v>2334</v>
      </c>
      <c r="C1441" s="1205" t="s">
        <v>1444</v>
      </c>
      <c r="D1441" s="1206" t="s">
        <v>2337</v>
      </c>
      <c r="E1441" s="1207">
        <v>2200</v>
      </c>
      <c r="F1441" s="1208" t="s">
        <v>4077</v>
      </c>
      <c r="G1441" s="1206" t="s">
        <v>4078</v>
      </c>
      <c r="H1441" s="1206" t="s">
        <v>2337</v>
      </c>
      <c r="I1441" s="1209" t="s">
        <v>2940</v>
      </c>
      <c r="J1441" s="1206" t="s">
        <v>2337</v>
      </c>
      <c r="K1441" s="1205">
        <v>5</v>
      </c>
      <c r="L1441" s="1205">
        <v>6</v>
      </c>
      <c r="M1441" s="1207">
        <v>13200</v>
      </c>
      <c r="N1441" s="1205">
        <v>5</v>
      </c>
      <c r="O1441" s="1205">
        <v>6</v>
      </c>
      <c r="P1441" s="1207">
        <v>13200</v>
      </c>
    </row>
    <row r="1442" spans="1:16" x14ac:dyDescent="0.2">
      <c r="A1442" s="1204" t="s">
        <v>2937</v>
      </c>
      <c r="B1442" s="1205" t="s">
        <v>2334</v>
      </c>
      <c r="C1442" s="1205" t="s">
        <v>1444</v>
      </c>
      <c r="D1442" s="1206" t="s">
        <v>2337</v>
      </c>
      <c r="E1442" s="1207">
        <v>2200</v>
      </c>
      <c r="F1442" s="1208" t="s">
        <v>4079</v>
      </c>
      <c r="G1442" s="1206" t="s">
        <v>4080</v>
      </c>
      <c r="H1442" s="1206" t="s">
        <v>2337</v>
      </c>
      <c r="I1442" s="1209" t="s">
        <v>2940</v>
      </c>
      <c r="J1442" s="1206" t="s">
        <v>2337</v>
      </c>
      <c r="K1442" s="1205">
        <v>2</v>
      </c>
      <c r="L1442" s="1205">
        <v>6</v>
      </c>
      <c r="M1442" s="1207">
        <v>13200</v>
      </c>
      <c r="N1442" s="1205">
        <v>2</v>
      </c>
      <c r="O1442" s="1205">
        <v>6</v>
      </c>
      <c r="P1442" s="1207">
        <v>13200</v>
      </c>
    </row>
    <row r="1443" spans="1:16" x14ac:dyDescent="0.2">
      <c r="A1443" s="1204" t="s">
        <v>2937</v>
      </c>
      <c r="B1443" s="1205" t="s">
        <v>2334</v>
      </c>
      <c r="C1443" s="1205" t="s">
        <v>1444</v>
      </c>
      <c r="D1443" s="1206" t="s">
        <v>1651</v>
      </c>
      <c r="E1443" s="1207">
        <v>3000</v>
      </c>
      <c r="F1443" s="1208" t="s">
        <v>4081</v>
      </c>
      <c r="G1443" s="1206" t="s">
        <v>4082</v>
      </c>
      <c r="H1443" s="1206" t="s">
        <v>1651</v>
      </c>
      <c r="I1443" s="1209" t="s">
        <v>2940</v>
      </c>
      <c r="J1443" s="1206" t="s">
        <v>1651</v>
      </c>
      <c r="K1443" s="1205">
        <v>0</v>
      </c>
      <c r="L1443" s="1205">
        <v>0</v>
      </c>
      <c r="M1443" s="1207">
        <v>0</v>
      </c>
      <c r="N1443" s="1205">
        <v>1</v>
      </c>
      <c r="O1443" s="1205">
        <v>1</v>
      </c>
      <c r="P1443" s="1207">
        <v>3000</v>
      </c>
    </row>
    <row r="1444" spans="1:16" x14ac:dyDescent="0.2">
      <c r="A1444" s="1204" t="s">
        <v>2937</v>
      </c>
      <c r="B1444" s="1205" t="s">
        <v>2334</v>
      </c>
      <c r="C1444" s="1205" t="s">
        <v>1444</v>
      </c>
      <c r="D1444" s="1206" t="s">
        <v>1651</v>
      </c>
      <c r="E1444" s="1207">
        <v>1200</v>
      </c>
      <c r="F1444" s="1208" t="s">
        <v>4083</v>
      </c>
      <c r="G1444" s="1206" t="s">
        <v>4084</v>
      </c>
      <c r="H1444" s="1206" t="s">
        <v>1651</v>
      </c>
      <c r="I1444" s="1209" t="s">
        <v>2940</v>
      </c>
      <c r="J1444" s="1206" t="s">
        <v>1651</v>
      </c>
      <c r="K1444" s="1205">
        <v>1</v>
      </c>
      <c r="L1444" s="1205">
        <v>6</v>
      </c>
      <c r="M1444" s="1207">
        <v>7200</v>
      </c>
      <c r="N1444" s="1205">
        <v>1</v>
      </c>
      <c r="O1444" s="1205">
        <v>6</v>
      </c>
      <c r="P1444" s="1207">
        <v>7200</v>
      </c>
    </row>
    <row r="1445" spans="1:16" x14ac:dyDescent="0.2">
      <c r="A1445" s="1204" t="s">
        <v>2937</v>
      </c>
      <c r="B1445" s="1205" t="s">
        <v>2334</v>
      </c>
      <c r="C1445" s="1205" t="s">
        <v>1444</v>
      </c>
      <c r="D1445" s="1206" t="s">
        <v>1716</v>
      </c>
      <c r="E1445" s="1207">
        <v>2500</v>
      </c>
      <c r="F1445" s="1208" t="s">
        <v>4085</v>
      </c>
      <c r="G1445" s="1206" t="s">
        <v>4086</v>
      </c>
      <c r="H1445" s="1206" t="s">
        <v>1716</v>
      </c>
      <c r="I1445" s="1209" t="s">
        <v>2940</v>
      </c>
      <c r="J1445" s="1206" t="s">
        <v>1716</v>
      </c>
      <c r="K1445" s="1205">
        <v>0</v>
      </c>
      <c r="L1445" s="1205">
        <v>0</v>
      </c>
      <c r="M1445" s="1207">
        <v>0</v>
      </c>
      <c r="N1445" s="1205">
        <v>1</v>
      </c>
      <c r="O1445" s="1205">
        <v>1</v>
      </c>
      <c r="P1445" s="1207">
        <v>2500</v>
      </c>
    </row>
    <row r="1446" spans="1:16" x14ac:dyDescent="0.2">
      <c r="A1446" s="1204" t="s">
        <v>2937</v>
      </c>
      <c r="B1446" s="1205" t="s">
        <v>2334</v>
      </c>
      <c r="C1446" s="1205" t="s">
        <v>1444</v>
      </c>
      <c r="D1446" s="1206" t="s">
        <v>1834</v>
      </c>
      <c r="E1446" s="1207">
        <v>7000</v>
      </c>
      <c r="F1446" s="1208" t="s">
        <v>4087</v>
      </c>
      <c r="G1446" s="1206" t="s">
        <v>4088</v>
      </c>
      <c r="H1446" s="1206" t="s">
        <v>1834</v>
      </c>
      <c r="I1446" s="1209" t="s">
        <v>2940</v>
      </c>
      <c r="J1446" s="1206" t="s">
        <v>1834</v>
      </c>
      <c r="K1446" s="1205">
        <v>0</v>
      </c>
      <c r="L1446" s="1205">
        <v>0</v>
      </c>
      <c r="M1446" s="1207">
        <v>0</v>
      </c>
      <c r="N1446" s="1205">
        <v>1</v>
      </c>
      <c r="O1446" s="1205">
        <v>2</v>
      </c>
      <c r="P1446" s="1207">
        <v>14000</v>
      </c>
    </row>
    <row r="1447" spans="1:16" x14ac:dyDescent="0.2">
      <c r="A1447" s="1204" t="s">
        <v>2937</v>
      </c>
      <c r="B1447" s="1205" t="s">
        <v>2334</v>
      </c>
      <c r="C1447" s="1205" t="s">
        <v>1444</v>
      </c>
      <c r="D1447" s="1206" t="s">
        <v>1651</v>
      </c>
      <c r="E1447" s="1207">
        <v>1125</v>
      </c>
      <c r="F1447" s="1208" t="s">
        <v>4089</v>
      </c>
      <c r="G1447" s="1206" t="s">
        <v>4090</v>
      </c>
      <c r="H1447" s="1206" t="s">
        <v>1651</v>
      </c>
      <c r="I1447" s="1209" t="s">
        <v>2940</v>
      </c>
      <c r="J1447" s="1206" t="s">
        <v>1651</v>
      </c>
      <c r="K1447" s="1205">
        <v>2</v>
      </c>
      <c r="L1447" s="1205">
        <v>6</v>
      </c>
      <c r="M1447" s="1207">
        <v>6750</v>
      </c>
      <c r="N1447" s="1205">
        <v>2</v>
      </c>
      <c r="O1447" s="1205">
        <v>6</v>
      </c>
      <c r="P1447" s="1207">
        <v>6750</v>
      </c>
    </row>
    <row r="1448" spans="1:16" x14ac:dyDescent="0.2">
      <c r="A1448" s="1204" t="s">
        <v>2937</v>
      </c>
      <c r="B1448" s="1205" t="s">
        <v>2334</v>
      </c>
      <c r="C1448" s="1205" t="s">
        <v>1444</v>
      </c>
      <c r="D1448" s="1206" t="s">
        <v>1673</v>
      </c>
      <c r="E1448" s="1207">
        <v>4000</v>
      </c>
      <c r="F1448" s="1208" t="s">
        <v>4091</v>
      </c>
      <c r="G1448" s="1206" t="s">
        <v>4092</v>
      </c>
      <c r="H1448" s="1206" t="s">
        <v>1673</v>
      </c>
      <c r="I1448" s="1209" t="s">
        <v>2940</v>
      </c>
      <c r="J1448" s="1206" t="s">
        <v>1673</v>
      </c>
      <c r="K1448" s="1205">
        <v>0</v>
      </c>
      <c r="L1448" s="1205">
        <v>0</v>
      </c>
      <c r="M1448" s="1207">
        <v>0</v>
      </c>
      <c r="N1448" s="1205">
        <v>1</v>
      </c>
      <c r="O1448" s="1205">
        <v>1</v>
      </c>
      <c r="P1448" s="1207">
        <v>4000</v>
      </c>
    </row>
    <row r="1449" spans="1:16" x14ac:dyDescent="0.2">
      <c r="A1449" s="1204" t="s">
        <v>2937</v>
      </c>
      <c r="B1449" s="1205" t="s">
        <v>2334</v>
      </c>
      <c r="C1449" s="1205" t="s">
        <v>1444</v>
      </c>
      <c r="D1449" s="1206" t="s">
        <v>1673</v>
      </c>
      <c r="E1449" s="1207">
        <v>4000</v>
      </c>
      <c r="F1449" s="1208" t="s">
        <v>4093</v>
      </c>
      <c r="G1449" s="1206" t="s">
        <v>4094</v>
      </c>
      <c r="H1449" s="1206" t="s">
        <v>1673</v>
      </c>
      <c r="I1449" s="1209" t="s">
        <v>2940</v>
      </c>
      <c r="J1449" s="1206" t="s">
        <v>1673</v>
      </c>
      <c r="K1449" s="1205">
        <v>0</v>
      </c>
      <c r="L1449" s="1205">
        <v>0</v>
      </c>
      <c r="M1449" s="1207">
        <v>0</v>
      </c>
      <c r="N1449" s="1205">
        <v>1</v>
      </c>
      <c r="O1449" s="1205">
        <v>1</v>
      </c>
      <c r="P1449" s="1207">
        <v>4000</v>
      </c>
    </row>
    <row r="1450" spans="1:16" x14ac:dyDescent="0.2">
      <c r="A1450" s="1204" t="s">
        <v>2937</v>
      </c>
      <c r="B1450" s="1205" t="s">
        <v>2334</v>
      </c>
      <c r="C1450" s="1205" t="s">
        <v>1444</v>
      </c>
      <c r="D1450" s="1206" t="s">
        <v>1651</v>
      </c>
      <c r="E1450" s="1207">
        <v>3000</v>
      </c>
      <c r="F1450" s="1208" t="s">
        <v>4095</v>
      </c>
      <c r="G1450" s="1206" t="s">
        <v>4096</v>
      </c>
      <c r="H1450" s="1206" t="s">
        <v>1651</v>
      </c>
      <c r="I1450" s="1209" t="s">
        <v>2940</v>
      </c>
      <c r="J1450" s="1206" t="s">
        <v>1651</v>
      </c>
      <c r="K1450" s="1205">
        <v>0</v>
      </c>
      <c r="L1450" s="1205">
        <v>0</v>
      </c>
      <c r="M1450" s="1207">
        <v>0</v>
      </c>
      <c r="N1450" s="1205">
        <v>1</v>
      </c>
      <c r="O1450" s="1205">
        <v>3</v>
      </c>
      <c r="P1450" s="1207">
        <v>9000</v>
      </c>
    </row>
    <row r="1451" spans="1:16" x14ac:dyDescent="0.2">
      <c r="A1451" s="1204" t="s">
        <v>2937</v>
      </c>
      <c r="B1451" s="1205" t="s">
        <v>2334</v>
      </c>
      <c r="C1451" s="1205" t="s">
        <v>1444</v>
      </c>
      <c r="D1451" s="1206" t="s">
        <v>2430</v>
      </c>
      <c r="E1451" s="1207">
        <v>1060</v>
      </c>
      <c r="F1451" s="1208" t="s">
        <v>4097</v>
      </c>
      <c r="G1451" s="1206" t="s">
        <v>4098</v>
      </c>
      <c r="H1451" s="1206" t="s">
        <v>2430</v>
      </c>
      <c r="I1451" s="1209" t="s">
        <v>2940</v>
      </c>
      <c r="J1451" s="1206" t="s">
        <v>2430</v>
      </c>
      <c r="K1451" s="1205">
        <v>2</v>
      </c>
      <c r="L1451" s="1205">
        <v>6</v>
      </c>
      <c r="M1451" s="1207">
        <v>6360</v>
      </c>
      <c r="N1451" s="1205">
        <v>2</v>
      </c>
      <c r="O1451" s="1205">
        <v>6</v>
      </c>
      <c r="P1451" s="1207">
        <v>6360</v>
      </c>
    </row>
    <row r="1452" spans="1:16" x14ac:dyDescent="0.2">
      <c r="A1452" s="1204" t="s">
        <v>2937</v>
      </c>
      <c r="B1452" s="1205" t="s">
        <v>2334</v>
      </c>
      <c r="C1452" s="1205" t="s">
        <v>1444</v>
      </c>
      <c r="D1452" s="1206" t="s">
        <v>2337</v>
      </c>
      <c r="E1452" s="1207">
        <v>2200</v>
      </c>
      <c r="F1452" s="1208" t="s">
        <v>4099</v>
      </c>
      <c r="G1452" s="1206" t="s">
        <v>4100</v>
      </c>
      <c r="H1452" s="1206" t="s">
        <v>2337</v>
      </c>
      <c r="I1452" s="1209" t="s">
        <v>2940</v>
      </c>
      <c r="J1452" s="1206" t="s">
        <v>2337</v>
      </c>
      <c r="K1452" s="1205">
        <v>2</v>
      </c>
      <c r="L1452" s="1205">
        <v>6</v>
      </c>
      <c r="M1452" s="1207">
        <v>13200</v>
      </c>
      <c r="N1452" s="1205">
        <v>2</v>
      </c>
      <c r="O1452" s="1205">
        <v>6</v>
      </c>
      <c r="P1452" s="1207">
        <v>13200</v>
      </c>
    </row>
    <row r="1453" spans="1:16" x14ac:dyDescent="0.2">
      <c r="A1453" s="1204" t="s">
        <v>2937</v>
      </c>
      <c r="B1453" s="1205" t="s">
        <v>2334</v>
      </c>
      <c r="C1453" s="1205" t="s">
        <v>1444</v>
      </c>
      <c r="D1453" s="1206" t="s">
        <v>2337</v>
      </c>
      <c r="E1453" s="1207">
        <v>2200</v>
      </c>
      <c r="F1453" s="1208" t="s">
        <v>4101</v>
      </c>
      <c r="G1453" s="1206" t="s">
        <v>4102</v>
      </c>
      <c r="H1453" s="1206" t="s">
        <v>2337</v>
      </c>
      <c r="I1453" s="1209" t="s">
        <v>2940</v>
      </c>
      <c r="J1453" s="1206" t="s">
        <v>2337</v>
      </c>
      <c r="K1453" s="1205">
        <v>2</v>
      </c>
      <c r="L1453" s="1205">
        <v>6</v>
      </c>
      <c r="M1453" s="1207">
        <v>13200</v>
      </c>
      <c r="N1453" s="1205">
        <v>2</v>
      </c>
      <c r="O1453" s="1205">
        <v>6</v>
      </c>
      <c r="P1453" s="1207">
        <v>13200</v>
      </c>
    </row>
    <row r="1454" spans="1:16" x14ac:dyDescent="0.2">
      <c r="A1454" s="1204" t="s">
        <v>2937</v>
      </c>
      <c r="B1454" s="1205" t="s">
        <v>2334</v>
      </c>
      <c r="C1454" s="1205" t="s">
        <v>1444</v>
      </c>
      <c r="D1454" s="1206" t="s">
        <v>1656</v>
      </c>
      <c r="E1454" s="1207">
        <v>2500</v>
      </c>
      <c r="F1454" s="1208" t="s">
        <v>4103</v>
      </c>
      <c r="G1454" s="1206" t="s">
        <v>4104</v>
      </c>
      <c r="H1454" s="1206" t="s">
        <v>1656</v>
      </c>
      <c r="I1454" s="1209" t="s">
        <v>2940</v>
      </c>
      <c r="J1454" s="1206" t="s">
        <v>1656</v>
      </c>
      <c r="K1454" s="1205">
        <v>0</v>
      </c>
      <c r="L1454" s="1205">
        <v>0</v>
      </c>
      <c r="M1454" s="1207">
        <v>0</v>
      </c>
      <c r="N1454" s="1205">
        <v>1</v>
      </c>
      <c r="O1454" s="1205">
        <v>3</v>
      </c>
      <c r="P1454" s="1207">
        <v>7500</v>
      </c>
    </row>
    <row r="1455" spans="1:16" x14ac:dyDescent="0.2">
      <c r="A1455" s="1204" t="s">
        <v>2937</v>
      </c>
      <c r="B1455" s="1205" t="s">
        <v>2334</v>
      </c>
      <c r="C1455" s="1205" t="s">
        <v>1444</v>
      </c>
      <c r="D1455" s="1206" t="s">
        <v>2792</v>
      </c>
      <c r="E1455" s="1207">
        <v>2000</v>
      </c>
      <c r="F1455" s="1208" t="s">
        <v>4105</v>
      </c>
      <c r="G1455" s="1206" t="s">
        <v>4106</v>
      </c>
      <c r="H1455" s="1206" t="s">
        <v>2792</v>
      </c>
      <c r="I1455" s="1209" t="s">
        <v>2940</v>
      </c>
      <c r="J1455" s="1206" t="s">
        <v>2792</v>
      </c>
      <c r="K1455" s="1205">
        <v>0</v>
      </c>
      <c r="L1455" s="1205">
        <v>0</v>
      </c>
      <c r="M1455" s="1207">
        <v>0</v>
      </c>
      <c r="N1455" s="1205">
        <v>1</v>
      </c>
      <c r="O1455" s="1205">
        <v>3</v>
      </c>
      <c r="P1455" s="1207">
        <v>6000</v>
      </c>
    </row>
    <row r="1456" spans="1:16" ht="12.75" thickBot="1" x14ac:dyDescent="0.25">
      <c r="A1456" s="1213" t="s">
        <v>2937</v>
      </c>
      <c r="B1456" s="1214" t="s">
        <v>2334</v>
      </c>
      <c r="C1456" s="1214" t="s">
        <v>1444</v>
      </c>
      <c r="D1456" s="1215" t="s">
        <v>1744</v>
      </c>
      <c r="E1456" s="1216">
        <v>2200</v>
      </c>
      <c r="F1456" s="1217" t="s">
        <v>4107</v>
      </c>
      <c r="G1456" s="1215" t="s">
        <v>4108</v>
      </c>
      <c r="H1456" s="1215" t="s">
        <v>1744</v>
      </c>
      <c r="I1456" s="1218" t="s">
        <v>2940</v>
      </c>
      <c r="J1456" s="1215" t="s">
        <v>1744</v>
      </c>
      <c r="K1456" s="1214">
        <v>1</v>
      </c>
      <c r="L1456" s="1214">
        <v>6</v>
      </c>
      <c r="M1456" s="1216">
        <v>13200</v>
      </c>
      <c r="N1456" s="1214">
        <v>1</v>
      </c>
      <c r="O1456" s="1214">
        <v>6</v>
      </c>
      <c r="P1456" s="1216">
        <v>13200</v>
      </c>
    </row>
    <row r="1457" spans="1:16" x14ac:dyDescent="0.2">
      <c r="A1457" s="162" t="s">
        <v>412</v>
      </c>
      <c r="B1457" s="162"/>
      <c r="C1457" s="162"/>
      <c r="D1457" s="162"/>
      <c r="E1457" s="162"/>
      <c r="F1457" s="162"/>
      <c r="G1457" s="162"/>
      <c r="H1457" s="162"/>
      <c r="I1457" s="162"/>
      <c r="J1457" s="162"/>
      <c r="M1457" s="162"/>
      <c r="N1457" s="162"/>
      <c r="O1457" s="162"/>
      <c r="P1457" s="162"/>
    </row>
    <row r="1459" spans="1:16" x14ac:dyDescent="0.2">
      <c r="A1459" s="15" t="s">
        <v>436</v>
      </c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</row>
    <row r="1460" spans="1:16" x14ac:dyDescent="0.2">
      <c r="A1460" s="490" t="s">
        <v>2282</v>
      </c>
      <c r="B1460" s="490"/>
      <c r="C1460" s="490"/>
      <c r="D1460" s="490"/>
      <c r="E1460" s="490"/>
      <c r="F1460" s="490"/>
      <c r="G1460" s="490"/>
      <c r="H1460" s="490"/>
      <c r="I1460" s="490"/>
      <c r="J1460" s="490"/>
      <c r="K1460" s="490"/>
      <c r="L1460" s="490"/>
      <c r="M1460" s="490"/>
      <c r="N1460" s="490"/>
      <c r="O1460" s="490"/>
      <c r="P1460" s="490"/>
    </row>
    <row r="1461" spans="1:16" ht="12.75" thickBot="1" x14ac:dyDescent="0.25">
      <c r="A1461" s="490" t="s">
        <v>4111</v>
      </c>
      <c r="B1461" s="162"/>
      <c r="C1461" s="162"/>
      <c r="D1461" s="162"/>
      <c r="E1461" s="162"/>
      <c r="F1461" s="162"/>
      <c r="G1461" s="162"/>
      <c r="H1461" s="162"/>
      <c r="I1461" s="162"/>
      <c r="J1461" s="162"/>
      <c r="M1461" s="162"/>
      <c r="N1461" s="162"/>
      <c r="O1461" s="162"/>
      <c r="P1461" s="162"/>
    </row>
    <row r="1462" spans="1:16" ht="12.75" thickBot="1" x14ac:dyDescent="0.25">
      <c r="A1462" s="1534" t="s">
        <v>147</v>
      </c>
      <c r="B1462" s="1535"/>
      <c r="C1462" s="1535"/>
      <c r="D1462" s="1535"/>
      <c r="E1462" s="1536"/>
      <c r="F1462" s="1537" t="s">
        <v>148</v>
      </c>
      <c r="G1462" s="1538"/>
      <c r="H1462" s="1539"/>
      <c r="I1462" s="1539"/>
      <c r="J1462" s="1540"/>
      <c r="K1462" s="1531" t="s">
        <v>1637</v>
      </c>
      <c r="L1462" s="1532"/>
      <c r="M1462" s="1533"/>
      <c r="N1462" s="1531" t="s">
        <v>1638</v>
      </c>
      <c r="O1462" s="1532"/>
      <c r="P1462" s="1533"/>
    </row>
    <row r="1463" spans="1:16" ht="99" thickBot="1" x14ac:dyDescent="0.25">
      <c r="A1463" s="511" t="s">
        <v>105</v>
      </c>
      <c r="B1463" s="267" t="s">
        <v>8</v>
      </c>
      <c r="C1463" s="267" t="s">
        <v>102</v>
      </c>
      <c r="D1463" s="512" t="s">
        <v>106</v>
      </c>
      <c r="E1463" s="513" t="s">
        <v>128</v>
      </c>
      <c r="F1463" s="511" t="s">
        <v>135</v>
      </c>
      <c r="G1463" s="512" t="s">
        <v>136</v>
      </c>
      <c r="H1463" s="512" t="s">
        <v>150</v>
      </c>
      <c r="I1463" s="267" t="s">
        <v>151</v>
      </c>
      <c r="J1463" s="510" t="s">
        <v>140</v>
      </c>
      <c r="K1463" s="271" t="s">
        <v>137</v>
      </c>
      <c r="L1463" s="272" t="s">
        <v>138</v>
      </c>
      <c r="M1463" s="273" t="s">
        <v>139</v>
      </c>
      <c r="N1463" s="271" t="s">
        <v>137</v>
      </c>
      <c r="O1463" s="272" t="s">
        <v>138</v>
      </c>
      <c r="P1463" s="273" t="s">
        <v>139</v>
      </c>
    </row>
    <row r="1464" spans="1:16" x14ac:dyDescent="0.2">
      <c r="A1464" s="92" t="s">
        <v>4122</v>
      </c>
      <c r="B1464" s="1240" t="s">
        <v>4123</v>
      </c>
      <c r="C1464" s="1240" t="s">
        <v>1444</v>
      </c>
      <c r="D1464" s="1241" t="s">
        <v>1042</v>
      </c>
      <c r="E1464" s="23">
        <v>2000</v>
      </c>
      <c r="F1464" s="12" t="s">
        <v>4124</v>
      </c>
      <c r="G1464" s="1242" t="s">
        <v>4125</v>
      </c>
      <c r="H1464" s="1242" t="s">
        <v>904</v>
      </c>
      <c r="I1464" s="1242" t="s">
        <v>904</v>
      </c>
      <c r="J1464" s="162"/>
      <c r="K1464" s="92">
        <v>2</v>
      </c>
      <c r="L1464" s="1241">
        <v>5</v>
      </c>
      <c r="M1464" s="1243">
        <v>9983.34</v>
      </c>
      <c r="N1464" s="92">
        <v>0</v>
      </c>
      <c r="O1464" s="1241">
        <v>0</v>
      </c>
      <c r="P1464" s="17">
        <v>0</v>
      </c>
    </row>
    <row r="1465" spans="1:16" x14ac:dyDescent="0.2">
      <c r="A1465" s="62" t="s">
        <v>4122</v>
      </c>
      <c r="B1465" s="12" t="s">
        <v>4123</v>
      </c>
      <c r="C1465" s="12" t="s">
        <v>1444</v>
      </c>
      <c r="D1465" s="25" t="s">
        <v>1042</v>
      </c>
      <c r="E1465" s="17">
        <v>2000</v>
      </c>
      <c r="F1465" s="12" t="s">
        <v>4126</v>
      </c>
      <c r="G1465" s="25" t="s">
        <v>4127</v>
      </c>
      <c r="H1465" s="25" t="s">
        <v>619</v>
      </c>
      <c r="I1465" s="25" t="s">
        <v>619</v>
      </c>
      <c r="J1465" s="162"/>
      <c r="K1465" s="62">
        <v>2</v>
      </c>
      <c r="L1465" s="25">
        <v>5</v>
      </c>
      <c r="M1465" s="1243">
        <v>10000</v>
      </c>
      <c r="N1465" s="62">
        <v>0</v>
      </c>
      <c r="O1465" s="25">
        <v>0</v>
      </c>
      <c r="P1465" s="17">
        <v>0</v>
      </c>
    </row>
    <row r="1466" spans="1:16" x14ac:dyDescent="0.2">
      <c r="A1466" s="62" t="s">
        <v>4122</v>
      </c>
      <c r="B1466" s="12" t="s">
        <v>4123</v>
      </c>
      <c r="C1466" s="12" t="s">
        <v>1444</v>
      </c>
      <c r="D1466" s="25" t="s">
        <v>4128</v>
      </c>
      <c r="E1466" s="17">
        <v>5500</v>
      </c>
      <c r="F1466" s="12" t="s">
        <v>4129</v>
      </c>
      <c r="G1466" s="25" t="s">
        <v>4130</v>
      </c>
      <c r="H1466" s="25" t="s">
        <v>2470</v>
      </c>
      <c r="I1466" s="25" t="s">
        <v>2470</v>
      </c>
      <c r="J1466" s="162"/>
      <c r="K1466" s="62">
        <v>6</v>
      </c>
      <c r="L1466" s="25">
        <v>12</v>
      </c>
      <c r="M1466" s="1243">
        <v>64469.74</v>
      </c>
      <c r="N1466" s="62">
        <v>3</v>
      </c>
      <c r="O1466" s="25">
        <v>6</v>
      </c>
      <c r="P1466" s="17">
        <v>33000</v>
      </c>
    </row>
    <row r="1467" spans="1:16" x14ac:dyDescent="0.2">
      <c r="A1467" s="62" t="s">
        <v>4122</v>
      </c>
      <c r="B1467" s="12" t="s">
        <v>4123</v>
      </c>
      <c r="C1467" s="12" t="s">
        <v>1444</v>
      </c>
      <c r="D1467" s="25" t="s">
        <v>1042</v>
      </c>
      <c r="E1467" s="17">
        <v>2000</v>
      </c>
      <c r="F1467" s="12" t="s">
        <v>4131</v>
      </c>
      <c r="G1467" s="25" t="s">
        <v>4132</v>
      </c>
      <c r="H1467" s="25" t="s">
        <v>904</v>
      </c>
      <c r="I1467" s="25" t="s">
        <v>904</v>
      </c>
      <c r="J1467" s="162"/>
      <c r="K1467" s="62">
        <v>2</v>
      </c>
      <c r="L1467" s="25">
        <v>5</v>
      </c>
      <c r="M1467" s="1243">
        <v>10000</v>
      </c>
      <c r="N1467" s="62">
        <v>0</v>
      </c>
      <c r="O1467" s="25">
        <v>0</v>
      </c>
      <c r="P1467" s="17">
        <v>0</v>
      </c>
    </row>
    <row r="1468" spans="1:16" x14ac:dyDescent="0.2">
      <c r="A1468" s="62" t="s">
        <v>4122</v>
      </c>
      <c r="B1468" s="12" t="s">
        <v>4123</v>
      </c>
      <c r="C1468" s="12" t="s">
        <v>1444</v>
      </c>
      <c r="D1468" s="25" t="s">
        <v>4128</v>
      </c>
      <c r="E1468" s="17">
        <v>3100</v>
      </c>
      <c r="F1468" s="12" t="s">
        <v>4133</v>
      </c>
      <c r="G1468" s="25" t="s">
        <v>4134</v>
      </c>
      <c r="H1468" s="25" t="s">
        <v>1666</v>
      </c>
      <c r="I1468" s="25" t="s">
        <v>1666</v>
      </c>
      <c r="J1468" s="162"/>
      <c r="K1468" s="62">
        <v>6</v>
      </c>
      <c r="L1468" s="25">
        <v>11</v>
      </c>
      <c r="M1468" s="1243">
        <v>34660</v>
      </c>
      <c r="N1468" s="62">
        <v>0</v>
      </c>
      <c r="O1468" s="25">
        <v>0</v>
      </c>
      <c r="P1468" s="17">
        <v>0</v>
      </c>
    </row>
    <row r="1469" spans="1:16" x14ac:dyDescent="0.2">
      <c r="A1469" s="62" t="s">
        <v>4122</v>
      </c>
      <c r="B1469" s="12" t="s">
        <v>4123</v>
      </c>
      <c r="C1469" s="12" t="s">
        <v>1444</v>
      </c>
      <c r="D1469" s="25" t="s">
        <v>1042</v>
      </c>
      <c r="E1469" s="17">
        <v>2300</v>
      </c>
      <c r="F1469" s="12" t="s">
        <v>4135</v>
      </c>
      <c r="G1469" s="25" t="s">
        <v>4136</v>
      </c>
      <c r="H1469" s="25" t="s">
        <v>904</v>
      </c>
      <c r="I1469" s="25" t="s">
        <v>904</v>
      </c>
      <c r="J1469" s="162"/>
      <c r="K1469" s="62">
        <v>1</v>
      </c>
      <c r="L1469" s="25">
        <v>2</v>
      </c>
      <c r="M1469" s="1243">
        <v>4562.5</v>
      </c>
      <c r="N1469" s="62">
        <v>0</v>
      </c>
      <c r="O1469" s="25">
        <v>0</v>
      </c>
      <c r="P1469" s="17">
        <v>0</v>
      </c>
    </row>
    <row r="1470" spans="1:16" x14ac:dyDescent="0.2">
      <c r="A1470" s="62" t="s">
        <v>4122</v>
      </c>
      <c r="B1470" s="12" t="s">
        <v>4123</v>
      </c>
      <c r="C1470" s="12" t="s">
        <v>1444</v>
      </c>
      <c r="D1470" s="25" t="s">
        <v>4128</v>
      </c>
      <c r="E1470" s="17">
        <v>1800</v>
      </c>
      <c r="F1470" s="12" t="s">
        <v>4137</v>
      </c>
      <c r="G1470" s="25" t="s">
        <v>4138</v>
      </c>
      <c r="H1470" s="25" t="s">
        <v>4139</v>
      </c>
      <c r="I1470" s="25" t="s">
        <v>4139</v>
      </c>
      <c r="J1470" s="162"/>
      <c r="K1470" s="62">
        <v>6</v>
      </c>
      <c r="L1470" s="25">
        <v>12</v>
      </c>
      <c r="M1470" s="1243">
        <v>21265.940000000002</v>
      </c>
      <c r="N1470" s="62">
        <v>3</v>
      </c>
      <c r="O1470" s="25">
        <v>6</v>
      </c>
      <c r="P1470" s="17">
        <v>10800</v>
      </c>
    </row>
    <row r="1471" spans="1:16" x14ac:dyDescent="0.2">
      <c r="A1471" s="62" t="s">
        <v>4122</v>
      </c>
      <c r="B1471" s="12" t="s">
        <v>4123</v>
      </c>
      <c r="C1471" s="12" t="s">
        <v>1444</v>
      </c>
      <c r="D1471" s="25" t="s">
        <v>4128</v>
      </c>
      <c r="E1471" s="17">
        <v>3100</v>
      </c>
      <c r="F1471" s="12" t="s">
        <v>4140</v>
      </c>
      <c r="G1471" s="25" t="s">
        <v>4141</v>
      </c>
      <c r="H1471" s="25" t="s">
        <v>1666</v>
      </c>
      <c r="I1471" s="25" t="s">
        <v>1666</v>
      </c>
      <c r="J1471" s="162"/>
      <c r="K1471" s="62">
        <v>6</v>
      </c>
      <c r="L1471" s="25">
        <v>12</v>
      </c>
      <c r="M1471" s="1243">
        <v>35600.339999999997</v>
      </c>
      <c r="N1471" s="62">
        <v>3</v>
      </c>
      <c r="O1471" s="25">
        <v>6</v>
      </c>
      <c r="P1471" s="17">
        <v>18600</v>
      </c>
    </row>
    <row r="1472" spans="1:16" x14ac:dyDescent="0.2">
      <c r="A1472" s="62" t="s">
        <v>4122</v>
      </c>
      <c r="B1472" s="12" t="s">
        <v>4123</v>
      </c>
      <c r="C1472" s="12" t="s">
        <v>1444</v>
      </c>
      <c r="D1472" s="25" t="s">
        <v>4128</v>
      </c>
      <c r="E1472" s="17">
        <v>3500</v>
      </c>
      <c r="F1472" s="12" t="s">
        <v>4142</v>
      </c>
      <c r="G1472" s="25" t="s">
        <v>4143</v>
      </c>
      <c r="H1472" s="25" t="s">
        <v>1666</v>
      </c>
      <c r="I1472" s="25" t="s">
        <v>1666</v>
      </c>
      <c r="J1472" s="162"/>
      <c r="K1472" s="62">
        <v>2</v>
      </c>
      <c r="L1472" s="25">
        <v>5</v>
      </c>
      <c r="M1472" s="1243">
        <v>16976</v>
      </c>
      <c r="N1472" s="62">
        <v>0</v>
      </c>
      <c r="O1472" s="25">
        <v>0</v>
      </c>
      <c r="P1472" s="17">
        <v>0</v>
      </c>
    </row>
    <row r="1473" spans="1:16" x14ac:dyDescent="0.2">
      <c r="A1473" s="62" t="s">
        <v>4122</v>
      </c>
      <c r="B1473" s="12" t="s">
        <v>4123</v>
      </c>
      <c r="C1473" s="12" t="s">
        <v>1444</v>
      </c>
      <c r="D1473" s="25" t="s">
        <v>4128</v>
      </c>
      <c r="E1473" s="17">
        <v>3100</v>
      </c>
      <c r="F1473" s="12" t="s">
        <v>4144</v>
      </c>
      <c r="G1473" s="25" t="s">
        <v>4145</v>
      </c>
      <c r="H1473" s="25" t="s">
        <v>1666</v>
      </c>
      <c r="I1473" s="25" t="s">
        <v>1666</v>
      </c>
      <c r="J1473" s="162"/>
      <c r="K1473" s="62">
        <v>6</v>
      </c>
      <c r="L1473" s="25">
        <v>12</v>
      </c>
      <c r="M1473" s="1243">
        <v>36986.009999999995</v>
      </c>
      <c r="N1473" s="62">
        <v>3</v>
      </c>
      <c r="O1473" s="25">
        <v>6</v>
      </c>
      <c r="P1473" s="17">
        <v>18600</v>
      </c>
    </row>
    <row r="1474" spans="1:16" x14ac:dyDescent="0.2">
      <c r="A1474" s="62" t="s">
        <v>4122</v>
      </c>
      <c r="B1474" s="12" t="s">
        <v>4123</v>
      </c>
      <c r="C1474" s="12" t="s">
        <v>1444</v>
      </c>
      <c r="D1474" s="25" t="s">
        <v>4128</v>
      </c>
      <c r="E1474" s="17">
        <v>1800</v>
      </c>
      <c r="F1474" s="12" t="s">
        <v>4146</v>
      </c>
      <c r="G1474" s="25" t="s">
        <v>4147</v>
      </c>
      <c r="H1474" s="25" t="s">
        <v>1651</v>
      </c>
      <c r="I1474" s="25" t="s">
        <v>1651</v>
      </c>
      <c r="J1474" s="162"/>
      <c r="K1474" s="62">
        <v>2</v>
      </c>
      <c r="L1474" s="25">
        <v>5</v>
      </c>
      <c r="M1474" s="1243">
        <v>8988</v>
      </c>
      <c r="N1474" s="62">
        <v>0</v>
      </c>
      <c r="O1474" s="25">
        <v>0</v>
      </c>
      <c r="P1474" s="17">
        <v>0</v>
      </c>
    </row>
    <row r="1475" spans="1:16" x14ac:dyDescent="0.2">
      <c r="A1475" s="62" t="s">
        <v>4122</v>
      </c>
      <c r="B1475" s="12" t="s">
        <v>4123</v>
      </c>
      <c r="C1475" s="12" t="s">
        <v>1444</v>
      </c>
      <c r="D1475" s="25" t="s">
        <v>4128</v>
      </c>
      <c r="E1475" s="17">
        <v>4000</v>
      </c>
      <c r="F1475" s="12" t="s">
        <v>4148</v>
      </c>
      <c r="G1475" s="25" t="s">
        <v>4149</v>
      </c>
      <c r="H1475" s="25" t="s">
        <v>2337</v>
      </c>
      <c r="I1475" s="25" t="s">
        <v>2337</v>
      </c>
      <c r="J1475" s="162"/>
      <c r="K1475" s="62">
        <v>6</v>
      </c>
      <c r="L1475" s="25">
        <v>12</v>
      </c>
      <c r="M1475" s="1243">
        <v>46333.19</v>
      </c>
      <c r="N1475" s="62">
        <v>3</v>
      </c>
      <c r="O1475" s="25">
        <v>6</v>
      </c>
      <c r="P1475" s="17">
        <v>24000</v>
      </c>
    </row>
    <row r="1476" spans="1:16" x14ac:dyDescent="0.2">
      <c r="A1476" s="62" t="s">
        <v>4122</v>
      </c>
      <c r="B1476" s="12" t="s">
        <v>4123</v>
      </c>
      <c r="C1476" s="12" t="s">
        <v>1444</v>
      </c>
      <c r="D1476" s="25" t="s">
        <v>4128</v>
      </c>
      <c r="E1476" s="17">
        <v>3100</v>
      </c>
      <c r="F1476" s="12" t="s">
        <v>4150</v>
      </c>
      <c r="G1476" s="25" t="s">
        <v>4151</v>
      </c>
      <c r="H1476" s="25" t="s">
        <v>1666</v>
      </c>
      <c r="I1476" s="25" t="s">
        <v>1666</v>
      </c>
      <c r="J1476" s="162"/>
      <c r="K1476" s="62">
        <v>6</v>
      </c>
      <c r="L1476" s="25">
        <v>12</v>
      </c>
      <c r="M1476" s="1243">
        <v>37062.120000000003</v>
      </c>
      <c r="N1476" s="62">
        <v>3</v>
      </c>
      <c r="O1476" s="25">
        <v>6</v>
      </c>
      <c r="P1476" s="17">
        <v>18600</v>
      </c>
    </row>
    <row r="1477" spans="1:16" x14ac:dyDescent="0.2">
      <c r="A1477" s="62" t="s">
        <v>4122</v>
      </c>
      <c r="B1477" s="12" t="s">
        <v>4123</v>
      </c>
      <c r="C1477" s="12" t="s">
        <v>1444</v>
      </c>
      <c r="D1477" s="25" t="s">
        <v>1042</v>
      </c>
      <c r="E1477" s="17">
        <v>2000</v>
      </c>
      <c r="F1477" s="12" t="s">
        <v>4152</v>
      </c>
      <c r="G1477" s="25" t="s">
        <v>4153</v>
      </c>
      <c r="H1477" s="25" t="s">
        <v>904</v>
      </c>
      <c r="I1477" s="25" t="s">
        <v>904</v>
      </c>
      <c r="J1477" s="162"/>
      <c r="K1477" s="62">
        <v>2</v>
      </c>
      <c r="L1477" s="25">
        <v>5</v>
      </c>
      <c r="M1477" s="1243">
        <v>9975</v>
      </c>
      <c r="N1477" s="62">
        <v>0</v>
      </c>
      <c r="O1477" s="25">
        <v>0</v>
      </c>
      <c r="P1477" s="17">
        <v>0</v>
      </c>
    </row>
    <row r="1478" spans="1:16" x14ac:dyDescent="0.2">
      <c r="A1478" s="62" t="s">
        <v>4122</v>
      </c>
      <c r="B1478" s="12" t="s">
        <v>4123</v>
      </c>
      <c r="C1478" s="12" t="s">
        <v>1444</v>
      </c>
      <c r="D1478" s="25" t="s">
        <v>4128</v>
      </c>
      <c r="E1478" s="17">
        <v>1800</v>
      </c>
      <c r="F1478" s="12" t="s">
        <v>4154</v>
      </c>
      <c r="G1478" s="25" t="s">
        <v>4155</v>
      </c>
      <c r="H1478" s="25" t="s">
        <v>1651</v>
      </c>
      <c r="I1478" s="25" t="s">
        <v>1651</v>
      </c>
      <c r="J1478" s="162"/>
      <c r="K1478" s="62">
        <v>1</v>
      </c>
      <c r="L1478" s="25">
        <v>2</v>
      </c>
      <c r="M1478" s="1243">
        <v>3264</v>
      </c>
      <c r="N1478" s="62">
        <v>0</v>
      </c>
      <c r="O1478" s="25">
        <v>0</v>
      </c>
      <c r="P1478" s="17">
        <v>0</v>
      </c>
    </row>
    <row r="1479" spans="1:16" x14ac:dyDescent="0.2">
      <c r="A1479" s="62" t="s">
        <v>4122</v>
      </c>
      <c r="B1479" s="12" t="s">
        <v>4123</v>
      </c>
      <c r="C1479" s="12" t="s">
        <v>1444</v>
      </c>
      <c r="D1479" s="25" t="s">
        <v>4128</v>
      </c>
      <c r="E1479" s="17">
        <v>3500</v>
      </c>
      <c r="F1479" s="12" t="s">
        <v>4156</v>
      </c>
      <c r="G1479" s="25" t="s">
        <v>4157</v>
      </c>
      <c r="H1479" s="25" t="s">
        <v>1666</v>
      </c>
      <c r="I1479" s="25" t="s">
        <v>1666</v>
      </c>
      <c r="J1479" s="162"/>
      <c r="K1479" s="62">
        <v>6</v>
      </c>
      <c r="L1479" s="25">
        <v>12</v>
      </c>
      <c r="M1479" s="1243">
        <v>40879.879999999997</v>
      </c>
      <c r="N1479" s="62">
        <v>3</v>
      </c>
      <c r="O1479" s="25">
        <v>6</v>
      </c>
      <c r="P1479" s="17">
        <v>21000</v>
      </c>
    </row>
    <row r="1480" spans="1:16" x14ac:dyDescent="0.2">
      <c r="A1480" s="62" t="s">
        <v>4122</v>
      </c>
      <c r="B1480" s="12" t="s">
        <v>4123</v>
      </c>
      <c r="C1480" s="12" t="s">
        <v>1444</v>
      </c>
      <c r="D1480" s="25" t="s">
        <v>1042</v>
      </c>
      <c r="E1480" s="17">
        <v>2000</v>
      </c>
      <c r="F1480" s="12" t="s">
        <v>4158</v>
      </c>
      <c r="G1480" s="25" t="s">
        <v>4159</v>
      </c>
      <c r="H1480" s="25" t="s">
        <v>904</v>
      </c>
      <c r="I1480" s="25" t="s">
        <v>904</v>
      </c>
      <c r="J1480" s="162"/>
      <c r="K1480" s="62">
        <v>2</v>
      </c>
      <c r="L1480" s="25">
        <v>5</v>
      </c>
      <c r="M1480" s="1243">
        <v>10000</v>
      </c>
      <c r="N1480" s="62">
        <v>0</v>
      </c>
      <c r="O1480" s="25">
        <v>0</v>
      </c>
      <c r="P1480" s="17">
        <v>0</v>
      </c>
    </row>
    <row r="1481" spans="1:16" x14ac:dyDescent="0.2">
      <c r="A1481" s="62" t="s">
        <v>4122</v>
      </c>
      <c r="B1481" s="12" t="s">
        <v>4123</v>
      </c>
      <c r="C1481" s="12" t="s">
        <v>1444</v>
      </c>
      <c r="D1481" s="25" t="s">
        <v>4128</v>
      </c>
      <c r="E1481" s="17">
        <v>3100</v>
      </c>
      <c r="F1481" s="12" t="s">
        <v>4160</v>
      </c>
      <c r="G1481" s="25" t="s">
        <v>4161</v>
      </c>
      <c r="H1481" s="25" t="s">
        <v>1666</v>
      </c>
      <c r="I1481" s="25" t="s">
        <v>1666</v>
      </c>
      <c r="J1481" s="162"/>
      <c r="K1481" s="62">
        <v>2</v>
      </c>
      <c r="L1481" s="25">
        <v>5</v>
      </c>
      <c r="M1481" s="1243">
        <v>15189.72</v>
      </c>
      <c r="N1481" s="62">
        <v>0</v>
      </c>
      <c r="O1481" s="25">
        <v>0</v>
      </c>
      <c r="P1481" s="17">
        <v>0</v>
      </c>
    </row>
    <row r="1482" spans="1:16" x14ac:dyDescent="0.2">
      <c r="A1482" s="62" t="s">
        <v>4122</v>
      </c>
      <c r="B1482" s="12" t="s">
        <v>4123</v>
      </c>
      <c r="C1482" s="12" t="s">
        <v>1444</v>
      </c>
      <c r="D1482" s="25" t="s">
        <v>4128</v>
      </c>
      <c r="E1482" s="17">
        <v>3100</v>
      </c>
      <c r="F1482" s="12" t="s">
        <v>4162</v>
      </c>
      <c r="G1482" s="25" t="s">
        <v>4163</v>
      </c>
      <c r="H1482" s="25" t="s">
        <v>1666</v>
      </c>
      <c r="I1482" s="25" t="s">
        <v>1666</v>
      </c>
      <c r="J1482" s="162"/>
      <c r="K1482" s="62">
        <v>6</v>
      </c>
      <c r="L1482" s="25">
        <v>11</v>
      </c>
      <c r="M1482" s="1243">
        <v>34058.33</v>
      </c>
      <c r="N1482" s="62">
        <v>3</v>
      </c>
      <c r="O1482" s="25">
        <v>6</v>
      </c>
      <c r="P1482" s="17">
        <v>18600</v>
      </c>
    </row>
    <row r="1483" spans="1:16" x14ac:dyDescent="0.2">
      <c r="A1483" s="62" t="s">
        <v>4122</v>
      </c>
      <c r="B1483" s="12" t="s">
        <v>4123</v>
      </c>
      <c r="C1483" s="12" t="s">
        <v>1444</v>
      </c>
      <c r="D1483" s="25" t="s">
        <v>1042</v>
      </c>
      <c r="E1483" s="17">
        <v>3100</v>
      </c>
      <c r="F1483" s="12" t="s">
        <v>4164</v>
      </c>
      <c r="G1483" s="25" t="s">
        <v>4165</v>
      </c>
      <c r="H1483" s="25" t="s">
        <v>542</v>
      </c>
      <c r="I1483" s="25" t="s">
        <v>542</v>
      </c>
      <c r="J1483" s="162"/>
      <c r="K1483" s="62">
        <v>1</v>
      </c>
      <c r="L1483" s="25">
        <v>2</v>
      </c>
      <c r="M1483" s="1243">
        <v>5203.57</v>
      </c>
      <c r="N1483" s="62">
        <v>0</v>
      </c>
      <c r="O1483" s="25">
        <v>0</v>
      </c>
      <c r="P1483" s="17">
        <v>0</v>
      </c>
    </row>
    <row r="1484" spans="1:16" x14ac:dyDescent="0.2">
      <c r="A1484" s="62" t="s">
        <v>4122</v>
      </c>
      <c r="B1484" s="12" t="s">
        <v>4123</v>
      </c>
      <c r="C1484" s="12" t="s">
        <v>1444</v>
      </c>
      <c r="D1484" s="25" t="s">
        <v>4128</v>
      </c>
      <c r="E1484" s="17">
        <v>3100</v>
      </c>
      <c r="F1484" s="12" t="s">
        <v>4166</v>
      </c>
      <c r="G1484" s="25" t="s">
        <v>4167</v>
      </c>
      <c r="H1484" s="25" t="s">
        <v>4168</v>
      </c>
      <c r="I1484" s="25" t="s">
        <v>4168</v>
      </c>
      <c r="J1484" s="162"/>
      <c r="K1484" s="62">
        <v>2</v>
      </c>
      <c r="L1484" s="25">
        <v>5</v>
      </c>
      <c r="M1484" s="1243">
        <v>15500</v>
      </c>
      <c r="N1484" s="62">
        <v>0</v>
      </c>
      <c r="O1484" s="25">
        <v>0</v>
      </c>
      <c r="P1484" s="17">
        <v>0</v>
      </c>
    </row>
    <row r="1485" spans="1:16" x14ac:dyDescent="0.2">
      <c r="A1485" s="62" t="s">
        <v>4122</v>
      </c>
      <c r="B1485" s="12" t="s">
        <v>4123</v>
      </c>
      <c r="C1485" s="12" t="s">
        <v>1444</v>
      </c>
      <c r="D1485" s="25" t="s">
        <v>1042</v>
      </c>
      <c r="E1485" s="17">
        <v>2300</v>
      </c>
      <c r="F1485" s="12" t="s">
        <v>4169</v>
      </c>
      <c r="G1485" s="25" t="s">
        <v>2641</v>
      </c>
      <c r="H1485" s="25" t="s">
        <v>904</v>
      </c>
      <c r="I1485" s="25" t="s">
        <v>904</v>
      </c>
      <c r="J1485" s="162"/>
      <c r="K1485" s="62">
        <v>1</v>
      </c>
      <c r="L1485" s="25">
        <v>3</v>
      </c>
      <c r="M1485" s="1243">
        <v>6900</v>
      </c>
      <c r="N1485" s="62">
        <v>0</v>
      </c>
      <c r="O1485" s="25">
        <v>0</v>
      </c>
      <c r="P1485" s="17">
        <v>0</v>
      </c>
    </row>
    <row r="1486" spans="1:16" x14ac:dyDescent="0.2">
      <c r="A1486" s="62" t="s">
        <v>4122</v>
      </c>
      <c r="B1486" s="12" t="s">
        <v>4123</v>
      </c>
      <c r="C1486" s="12" t="s">
        <v>1444</v>
      </c>
      <c r="D1486" s="25" t="s">
        <v>4128</v>
      </c>
      <c r="E1486" s="17">
        <v>3100</v>
      </c>
      <c r="F1486" s="12" t="s">
        <v>4170</v>
      </c>
      <c r="G1486" s="25" t="s">
        <v>4171</v>
      </c>
      <c r="H1486" s="25" t="s">
        <v>1666</v>
      </c>
      <c r="I1486" s="25" t="s">
        <v>1666</v>
      </c>
      <c r="J1486" s="162"/>
      <c r="K1486" s="62">
        <v>6</v>
      </c>
      <c r="L1486" s="25">
        <v>12</v>
      </c>
      <c r="M1486" s="1243">
        <v>36679.78</v>
      </c>
      <c r="N1486" s="62">
        <v>3</v>
      </c>
      <c r="O1486" s="25">
        <v>6</v>
      </c>
      <c r="P1486" s="17">
        <v>18600</v>
      </c>
    </row>
    <row r="1487" spans="1:16" x14ac:dyDescent="0.2">
      <c r="A1487" s="62" t="s">
        <v>4122</v>
      </c>
      <c r="B1487" s="12" t="s">
        <v>4123</v>
      </c>
      <c r="C1487" s="12" t="s">
        <v>1444</v>
      </c>
      <c r="D1487" s="25" t="s">
        <v>1042</v>
      </c>
      <c r="E1487" s="17">
        <v>6000</v>
      </c>
      <c r="F1487" s="12" t="s">
        <v>4172</v>
      </c>
      <c r="G1487" s="25" t="s">
        <v>4173</v>
      </c>
      <c r="H1487" s="25" t="s">
        <v>2612</v>
      </c>
      <c r="I1487" s="25" t="s">
        <v>2612</v>
      </c>
      <c r="J1487" s="162"/>
      <c r="K1487" s="62">
        <v>6</v>
      </c>
      <c r="L1487" s="25">
        <v>12</v>
      </c>
      <c r="M1487" s="1243">
        <v>66381.45</v>
      </c>
      <c r="N1487" s="62">
        <v>0</v>
      </c>
      <c r="O1487" s="25">
        <v>0</v>
      </c>
      <c r="P1487" s="17">
        <v>0</v>
      </c>
    </row>
    <row r="1488" spans="1:16" x14ac:dyDescent="0.2">
      <c r="A1488" s="62" t="s">
        <v>4122</v>
      </c>
      <c r="B1488" s="12" t="s">
        <v>4123</v>
      </c>
      <c r="C1488" s="12" t="s">
        <v>1444</v>
      </c>
      <c r="D1488" s="25" t="s">
        <v>1042</v>
      </c>
      <c r="E1488" s="17">
        <v>2400</v>
      </c>
      <c r="F1488" s="12" t="s">
        <v>4174</v>
      </c>
      <c r="G1488" s="25" t="s">
        <v>4175</v>
      </c>
      <c r="H1488" s="25" t="s">
        <v>904</v>
      </c>
      <c r="I1488" s="25" t="s">
        <v>904</v>
      </c>
      <c r="J1488" s="162"/>
      <c r="K1488" s="62">
        <v>2</v>
      </c>
      <c r="L1488" s="25">
        <v>5</v>
      </c>
      <c r="M1488" s="1243">
        <v>12000</v>
      </c>
      <c r="N1488" s="62">
        <v>0</v>
      </c>
      <c r="O1488" s="25">
        <v>0</v>
      </c>
      <c r="P1488" s="17">
        <v>0</v>
      </c>
    </row>
    <row r="1489" spans="1:16" x14ac:dyDescent="0.2">
      <c r="A1489" s="62" t="s">
        <v>4122</v>
      </c>
      <c r="B1489" s="12" t="s">
        <v>4123</v>
      </c>
      <c r="C1489" s="12" t="s">
        <v>1444</v>
      </c>
      <c r="D1489" s="25" t="s">
        <v>1042</v>
      </c>
      <c r="E1489" s="17">
        <v>5000</v>
      </c>
      <c r="F1489" s="12" t="s">
        <v>4176</v>
      </c>
      <c r="G1489" s="25" t="s">
        <v>4177</v>
      </c>
      <c r="H1489" s="25" t="s">
        <v>1096</v>
      </c>
      <c r="I1489" s="25" t="s">
        <v>1096</v>
      </c>
      <c r="J1489" s="162"/>
      <c r="K1489" s="62">
        <v>6</v>
      </c>
      <c r="L1489" s="25">
        <v>12</v>
      </c>
      <c r="M1489" s="1243">
        <v>59338.71</v>
      </c>
      <c r="N1489" s="62">
        <v>3</v>
      </c>
      <c r="O1489" s="25">
        <v>6</v>
      </c>
      <c r="P1489" s="17">
        <v>30000</v>
      </c>
    </row>
    <row r="1490" spans="1:16" x14ac:dyDescent="0.2">
      <c r="A1490" s="62" t="s">
        <v>4122</v>
      </c>
      <c r="B1490" s="12" t="s">
        <v>4123</v>
      </c>
      <c r="C1490" s="12" t="s">
        <v>1444</v>
      </c>
      <c r="D1490" s="25" t="s">
        <v>4128</v>
      </c>
      <c r="E1490" s="17">
        <v>3500</v>
      </c>
      <c r="F1490" s="12" t="s">
        <v>4178</v>
      </c>
      <c r="G1490" s="25" t="s">
        <v>4179</v>
      </c>
      <c r="H1490" s="25" t="s">
        <v>1666</v>
      </c>
      <c r="I1490" s="25" t="s">
        <v>1666</v>
      </c>
      <c r="J1490" s="162"/>
      <c r="K1490" s="62">
        <v>6</v>
      </c>
      <c r="L1490" s="25">
        <v>12</v>
      </c>
      <c r="M1490" s="1243">
        <v>41062.65</v>
      </c>
      <c r="N1490" s="62">
        <v>3</v>
      </c>
      <c r="O1490" s="25">
        <v>6</v>
      </c>
      <c r="P1490" s="17">
        <v>21000</v>
      </c>
    </row>
    <row r="1491" spans="1:16" x14ac:dyDescent="0.2">
      <c r="A1491" s="62" t="s">
        <v>4122</v>
      </c>
      <c r="B1491" s="12" t="s">
        <v>4123</v>
      </c>
      <c r="C1491" s="12" t="s">
        <v>1444</v>
      </c>
      <c r="D1491" s="25" t="s">
        <v>4128</v>
      </c>
      <c r="E1491" s="17">
        <v>3500</v>
      </c>
      <c r="F1491" s="12" t="s">
        <v>4180</v>
      </c>
      <c r="G1491" s="25" t="s">
        <v>4181</v>
      </c>
      <c r="H1491" s="25" t="s">
        <v>1666</v>
      </c>
      <c r="I1491" s="25" t="s">
        <v>1666</v>
      </c>
      <c r="J1491" s="162"/>
      <c r="K1491" s="62">
        <v>6</v>
      </c>
      <c r="L1491" s="25">
        <v>12</v>
      </c>
      <c r="M1491" s="1243">
        <v>40328.079999999994</v>
      </c>
      <c r="N1491" s="62">
        <v>3</v>
      </c>
      <c r="O1491" s="25">
        <v>6</v>
      </c>
      <c r="P1491" s="17">
        <v>21000</v>
      </c>
    </row>
    <row r="1492" spans="1:16" x14ac:dyDescent="0.2">
      <c r="A1492" s="62" t="s">
        <v>4122</v>
      </c>
      <c r="B1492" s="12" t="s">
        <v>4123</v>
      </c>
      <c r="C1492" s="12" t="s">
        <v>1444</v>
      </c>
      <c r="D1492" s="25" t="s">
        <v>4128</v>
      </c>
      <c r="E1492" s="17">
        <v>3100</v>
      </c>
      <c r="F1492" s="12" t="s">
        <v>4182</v>
      </c>
      <c r="G1492" s="25" t="s">
        <v>4183</v>
      </c>
      <c r="H1492" s="25" t="s">
        <v>1666</v>
      </c>
      <c r="I1492" s="25" t="s">
        <v>1666</v>
      </c>
      <c r="J1492" s="162"/>
      <c r="K1492" s="62">
        <v>6</v>
      </c>
      <c r="L1492" s="25">
        <v>12</v>
      </c>
      <c r="M1492" s="1243">
        <v>37100</v>
      </c>
      <c r="N1492" s="62">
        <v>3</v>
      </c>
      <c r="O1492" s="25">
        <v>6</v>
      </c>
      <c r="P1492" s="17">
        <v>18600</v>
      </c>
    </row>
    <row r="1493" spans="1:16" x14ac:dyDescent="0.2">
      <c r="A1493" s="62" t="s">
        <v>4122</v>
      </c>
      <c r="B1493" s="12" t="s">
        <v>4123</v>
      </c>
      <c r="C1493" s="12" t="s">
        <v>1444</v>
      </c>
      <c r="D1493" s="25" t="s">
        <v>4128</v>
      </c>
      <c r="E1493" s="17">
        <v>1800</v>
      </c>
      <c r="F1493" s="12" t="s">
        <v>4184</v>
      </c>
      <c r="G1493" s="25" t="s">
        <v>4185</v>
      </c>
      <c r="H1493" s="25" t="s">
        <v>1651</v>
      </c>
      <c r="I1493" s="25" t="s">
        <v>1651</v>
      </c>
      <c r="J1493" s="162"/>
      <c r="K1493" s="62">
        <v>1</v>
      </c>
      <c r="L1493" s="25">
        <v>2</v>
      </c>
      <c r="M1493" s="1243">
        <v>3600</v>
      </c>
      <c r="N1493" s="62">
        <v>0</v>
      </c>
      <c r="O1493" s="25">
        <v>0</v>
      </c>
      <c r="P1493" s="17">
        <v>0</v>
      </c>
    </row>
    <row r="1494" spans="1:16" x14ac:dyDescent="0.2">
      <c r="A1494" s="62" t="s">
        <v>4122</v>
      </c>
      <c r="B1494" s="12" t="s">
        <v>4123</v>
      </c>
      <c r="C1494" s="12" t="s">
        <v>1444</v>
      </c>
      <c r="D1494" s="25" t="s">
        <v>1042</v>
      </c>
      <c r="E1494" s="17">
        <v>5000</v>
      </c>
      <c r="F1494" s="12" t="s">
        <v>4186</v>
      </c>
      <c r="G1494" s="25" t="s">
        <v>4187</v>
      </c>
      <c r="H1494" s="25" t="s">
        <v>542</v>
      </c>
      <c r="I1494" s="25" t="s">
        <v>542</v>
      </c>
      <c r="J1494" s="162"/>
      <c r="K1494" s="62">
        <v>1</v>
      </c>
      <c r="L1494" s="25">
        <v>3</v>
      </c>
      <c r="M1494" s="1243">
        <v>15000</v>
      </c>
      <c r="N1494" s="62">
        <v>0</v>
      </c>
      <c r="O1494" s="25">
        <v>0</v>
      </c>
      <c r="P1494" s="17">
        <v>0</v>
      </c>
    </row>
    <row r="1495" spans="1:16" x14ac:dyDescent="0.2">
      <c r="A1495" s="62" t="s">
        <v>4122</v>
      </c>
      <c r="B1495" s="12" t="s">
        <v>4123</v>
      </c>
      <c r="C1495" s="12" t="s">
        <v>1444</v>
      </c>
      <c r="D1495" s="25" t="s">
        <v>1042</v>
      </c>
      <c r="E1495" s="17">
        <v>3500</v>
      </c>
      <c r="F1495" s="12" t="s">
        <v>4188</v>
      </c>
      <c r="G1495" s="25" t="s">
        <v>4189</v>
      </c>
      <c r="H1495" s="25" t="s">
        <v>4190</v>
      </c>
      <c r="I1495" s="25" t="s">
        <v>4190</v>
      </c>
      <c r="J1495" s="162"/>
      <c r="K1495" s="62">
        <v>6</v>
      </c>
      <c r="L1495" s="25">
        <v>12</v>
      </c>
      <c r="M1495" s="1243">
        <v>41887.1</v>
      </c>
      <c r="N1495" s="62">
        <v>3</v>
      </c>
      <c r="O1495" s="25">
        <v>6</v>
      </c>
      <c r="P1495" s="17">
        <v>21000</v>
      </c>
    </row>
    <row r="1496" spans="1:16" x14ac:dyDescent="0.2">
      <c r="A1496" s="62" t="s">
        <v>4122</v>
      </c>
      <c r="B1496" s="12" t="s">
        <v>4123</v>
      </c>
      <c r="C1496" s="12" t="s">
        <v>1444</v>
      </c>
      <c r="D1496" s="25" t="s">
        <v>4128</v>
      </c>
      <c r="E1496" s="17">
        <v>3100</v>
      </c>
      <c r="F1496" s="12" t="s">
        <v>4191</v>
      </c>
      <c r="G1496" s="25" t="s">
        <v>4192</v>
      </c>
      <c r="H1496" s="25" t="s">
        <v>4193</v>
      </c>
      <c r="I1496" s="25" t="s">
        <v>4193</v>
      </c>
      <c r="J1496" s="162"/>
      <c r="K1496" s="62">
        <v>2</v>
      </c>
      <c r="L1496" s="25">
        <v>5</v>
      </c>
      <c r="M1496" s="1243">
        <v>15189.67</v>
      </c>
      <c r="N1496" s="62">
        <v>0</v>
      </c>
      <c r="O1496" s="25">
        <v>0</v>
      </c>
      <c r="P1496" s="17">
        <v>0</v>
      </c>
    </row>
    <row r="1497" spans="1:16" x14ac:dyDescent="0.2">
      <c r="A1497" s="62" t="s">
        <v>4122</v>
      </c>
      <c r="B1497" s="12" t="s">
        <v>4123</v>
      </c>
      <c r="C1497" s="12" t="s">
        <v>1444</v>
      </c>
      <c r="D1497" s="25" t="s">
        <v>4128</v>
      </c>
      <c r="E1497" s="17">
        <v>3100</v>
      </c>
      <c r="F1497" s="12" t="s">
        <v>4194</v>
      </c>
      <c r="G1497" s="25" t="s">
        <v>4195</v>
      </c>
      <c r="H1497" s="25" t="s">
        <v>1666</v>
      </c>
      <c r="I1497" s="25" t="s">
        <v>1666</v>
      </c>
      <c r="J1497" s="162"/>
      <c r="K1497" s="62">
        <v>2</v>
      </c>
      <c r="L1497" s="25">
        <v>5</v>
      </c>
      <c r="M1497" s="1243">
        <v>15500</v>
      </c>
      <c r="N1497" s="62">
        <v>0</v>
      </c>
      <c r="O1497" s="25">
        <v>0</v>
      </c>
      <c r="P1497" s="17">
        <v>0</v>
      </c>
    </row>
    <row r="1498" spans="1:16" x14ac:dyDescent="0.2">
      <c r="A1498" s="62" t="s">
        <v>4122</v>
      </c>
      <c r="B1498" s="12" t="s">
        <v>4123</v>
      </c>
      <c r="C1498" s="12" t="s">
        <v>1444</v>
      </c>
      <c r="D1498" s="25" t="s">
        <v>1042</v>
      </c>
      <c r="E1498" s="17">
        <v>2300</v>
      </c>
      <c r="F1498" s="12" t="s">
        <v>4196</v>
      </c>
      <c r="G1498" s="25" t="s">
        <v>4197</v>
      </c>
      <c r="H1498" s="25" t="s">
        <v>4198</v>
      </c>
      <c r="I1498" s="25" t="s">
        <v>4198</v>
      </c>
      <c r="J1498" s="162"/>
      <c r="K1498" s="62">
        <v>2</v>
      </c>
      <c r="L1498" s="25">
        <v>5</v>
      </c>
      <c r="M1498" s="1243">
        <v>11442.5</v>
      </c>
      <c r="N1498" s="62">
        <v>0</v>
      </c>
      <c r="O1498" s="25">
        <v>0</v>
      </c>
      <c r="P1498" s="17">
        <v>0</v>
      </c>
    </row>
    <row r="1499" spans="1:16" x14ac:dyDescent="0.2">
      <c r="A1499" s="62" t="s">
        <v>4122</v>
      </c>
      <c r="B1499" s="12" t="s">
        <v>4123</v>
      </c>
      <c r="C1499" s="12" t="s">
        <v>1444</v>
      </c>
      <c r="D1499" s="25" t="s">
        <v>4128</v>
      </c>
      <c r="E1499" s="17">
        <v>3100</v>
      </c>
      <c r="F1499" s="12" t="s">
        <v>4199</v>
      </c>
      <c r="G1499" s="25" t="s">
        <v>4200</v>
      </c>
      <c r="H1499" s="25" t="s">
        <v>1666</v>
      </c>
      <c r="I1499" s="25" t="s">
        <v>1666</v>
      </c>
      <c r="J1499" s="162"/>
      <c r="K1499" s="62">
        <v>6</v>
      </c>
      <c r="L1499" s="25">
        <v>8</v>
      </c>
      <c r="M1499" s="1243">
        <v>24589.78</v>
      </c>
      <c r="N1499" s="62">
        <v>0</v>
      </c>
      <c r="O1499" s="25">
        <v>0</v>
      </c>
      <c r="P1499" s="17">
        <v>0</v>
      </c>
    </row>
    <row r="1500" spans="1:16" x14ac:dyDescent="0.2">
      <c r="A1500" s="62" t="s">
        <v>4122</v>
      </c>
      <c r="B1500" s="12" t="s">
        <v>4123</v>
      </c>
      <c r="C1500" s="12" t="s">
        <v>1444</v>
      </c>
      <c r="D1500" s="25" t="s">
        <v>4128</v>
      </c>
      <c r="E1500" s="17">
        <v>3500</v>
      </c>
      <c r="F1500" s="12" t="s">
        <v>4201</v>
      </c>
      <c r="G1500" s="25" t="s">
        <v>4202</v>
      </c>
      <c r="H1500" s="25" t="s">
        <v>1666</v>
      </c>
      <c r="I1500" s="25" t="s">
        <v>1666</v>
      </c>
      <c r="J1500" s="162"/>
      <c r="K1500" s="62">
        <v>6</v>
      </c>
      <c r="L1500" s="25">
        <v>12</v>
      </c>
      <c r="M1500" s="1243">
        <v>41844.33</v>
      </c>
      <c r="N1500" s="62">
        <v>3</v>
      </c>
      <c r="O1500" s="25">
        <v>6</v>
      </c>
      <c r="P1500" s="17">
        <v>21000</v>
      </c>
    </row>
    <row r="1501" spans="1:16" x14ac:dyDescent="0.2">
      <c r="A1501" s="62" t="s">
        <v>4122</v>
      </c>
      <c r="B1501" s="12" t="s">
        <v>4123</v>
      </c>
      <c r="C1501" s="12" t="s">
        <v>1444</v>
      </c>
      <c r="D1501" s="25" t="s">
        <v>4128</v>
      </c>
      <c r="E1501" s="17">
        <v>3100</v>
      </c>
      <c r="F1501" s="12" t="s">
        <v>4203</v>
      </c>
      <c r="G1501" s="25" t="s">
        <v>4204</v>
      </c>
      <c r="H1501" s="25" t="s">
        <v>1666</v>
      </c>
      <c r="I1501" s="25" t="s">
        <v>1666</v>
      </c>
      <c r="J1501" s="162"/>
      <c r="K1501" s="62">
        <v>1</v>
      </c>
      <c r="L1501" s="25">
        <v>2</v>
      </c>
      <c r="M1501" s="1243">
        <v>6200</v>
      </c>
      <c r="N1501" s="62">
        <v>0</v>
      </c>
      <c r="O1501" s="25">
        <v>0</v>
      </c>
      <c r="P1501" s="17">
        <v>0</v>
      </c>
    </row>
    <row r="1502" spans="1:16" x14ac:dyDescent="0.2">
      <c r="A1502" s="62" t="s">
        <v>4122</v>
      </c>
      <c r="B1502" s="12" t="s">
        <v>4123</v>
      </c>
      <c r="C1502" s="12" t="s">
        <v>1444</v>
      </c>
      <c r="D1502" s="25" t="s">
        <v>4128</v>
      </c>
      <c r="E1502" s="17">
        <v>3500</v>
      </c>
      <c r="F1502" s="12" t="s">
        <v>4205</v>
      </c>
      <c r="G1502" s="25" t="s">
        <v>4206</v>
      </c>
      <c r="H1502" s="25" t="s">
        <v>1666</v>
      </c>
      <c r="I1502" s="25" t="s">
        <v>1666</v>
      </c>
      <c r="J1502" s="162"/>
      <c r="K1502" s="62">
        <v>6</v>
      </c>
      <c r="L1502" s="25">
        <v>12</v>
      </c>
      <c r="M1502" s="1243">
        <v>41824.89</v>
      </c>
      <c r="N1502" s="62">
        <v>3</v>
      </c>
      <c r="O1502" s="25">
        <v>6</v>
      </c>
      <c r="P1502" s="17">
        <v>21000</v>
      </c>
    </row>
    <row r="1503" spans="1:16" x14ac:dyDescent="0.2">
      <c r="A1503" s="62" t="s">
        <v>4122</v>
      </c>
      <c r="B1503" s="12" t="s">
        <v>4123</v>
      </c>
      <c r="C1503" s="12" t="s">
        <v>1444</v>
      </c>
      <c r="D1503" s="25" t="s">
        <v>1042</v>
      </c>
      <c r="E1503" s="17">
        <v>6500</v>
      </c>
      <c r="F1503" s="12" t="s">
        <v>4207</v>
      </c>
      <c r="G1503" s="25" t="s">
        <v>4208</v>
      </c>
      <c r="H1503" s="25" t="s">
        <v>4209</v>
      </c>
      <c r="I1503" s="25" t="s">
        <v>4209</v>
      </c>
      <c r="J1503" s="162"/>
      <c r="K1503" s="62">
        <v>6</v>
      </c>
      <c r="L1503" s="25">
        <v>9</v>
      </c>
      <c r="M1503" s="1243">
        <v>57301.45</v>
      </c>
      <c r="N1503" s="62">
        <v>0</v>
      </c>
      <c r="O1503" s="25">
        <v>0</v>
      </c>
      <c r="P1503" s="17">
        <v>0</v>
      </c>
    </row>
    <row r="1504" spans="1:16" x14ac:dyDescent="0.2">
      <c r="A1504" s="62" t="s">
        <v>4122</v>
      </c>
      <c r="B1504" s="12" t="s">
        <v>4123</v>
      </c>
      <c r="C1504" s="12" t="s">
        <v>1444</v>
      </c>
      <c r="D1504" s="25" t="s">
        <v>4128</v>
      </c>
      <c r="E1504" s="17">
        <v>3100</v>
      </c>
      <c r="F1504" s="12" t="s">
        <v>4210</v>
      </c>
      <c r="G1504" s="25" t="s">
        <v>4211</v>
      </c>
      <c r="H1504" s="25" t="s">
        <v>1666</v>
      </c>
      <c r="I1504" s="25" t="s">
        <v>1666</v>
      </c>
      <c r="J1504" s="162"/>
      <c r="K1504" s="62">
        <v>6</v>
      </c>
      <c r="L1504" s="25">
        <v>12</v>
      </c>
      <c r="M1504" s="1243">
        <v>35083.67</v>
      </c>
      <c r="N1504" s="62">
        <v>3</v>
      </c>
      <c r="O1504" s="25">
        <v>6</v>
      </c>
      <c r="P1504" s="17">
        <v>18600</v>
      </c>
    </row>
    <row r="1505" spans="1:16" x14ac:dyDescent="0.2">
      <c r="A1505" s="62" t="s">
        <v>4122</v>
      </c>
      <c r="B1505" s="12" t="s">
        <v>4123</v>
      </c>
      <c r="C1505" s="12" t="s">
        <v>1444</v>
      </c>
      <c r="D1505" s="25" t="s">
        <v>4128</v>
      </c>
      <c r="E1505" s="17">
        <v>3100</v>
      </c>
      <c r="F1505" s="12" t="s">
        <v>4212</v>
      </c>
      <c r="G1505" s="25" t="s">
        <v>4213</v>
      </c>
      <c r="H1505" s="25" t="s">
        <v>1666</v>
      </c>
      <c r="I1505" s="25" t="s">
        <v>1666</v>
      </c>
      <c r="J1505" s="162"/>
      <c r="K1505" s="62">
        <v>2</v>
      </c>
      <c r="L1505" s="25">
        <v>5</v>
      </c>
      <c r="M1505" s="1243">
        <v>15500</v>
      </c>
      <c r="N1505" s="62">
        <v>0</v>
      </c>
      <c r="O1505" s="25">
        <v>0</v>
      </c>
      <c r="P1505" s="17">
        <v>0</v>
      </c>
    </row>
    <row r="1506" spans="1:16" x14ac:dyDescent="0.2">
      <c r="A1506" s="62" t="s">
        <v>4122</v>
      </c>
      <c r="B1506" s="12" t="s">
        <v>4123</v>
      </c>
      <c r="C1506" s="12" t="s">
        <v>1444</v>
      </c>
      <c r="D1506" s="25" t="s">
        <v>4128</v>
      </c>
      <c r="E1506" s="17">
        <v>3100</v>
      </c>
      <c r="F1506" s="12" t="s">
        <v>4214</v>
      </c>
      <c r="G1506" s="25" t="s">
        <v>4215</v>
      </c>
      <c r="H1506" s="25" t="s">
        <v>1666</v>
      </c>
      <c r="I1506" s="25" t="s">
        <v>1666</v>
      </c>
      <c r="J1506" s="162"/>
      <c r="K1506" s="62">
        <v>6</v>
      </c>
      <c r="L1506" s="25">
        <v>12</v>
      </c>
      <c r="M1506" s="1243">
        <v>37100</v>
      </c>
      <c r="N1506" s="62">
        <v>3</v>
      </c>
      <c r="O1506" s="25">
        <v>6</v>
      </c>
      <c r="P1506" s="17">
        <v>18600</v>
      </c>
    </row>
    <row r="1507" spans="1:16" x14ac:dyDescent="0.2">
      <c r="A1507" s="62" t="s">
        <v>4122</v>
      </c>
      <c r="B1507" s="12" t="s">
        <v>4123</v>
      </c>
      <c r="C1507" s="12" t="s">
        <v>1444</v>
      </c>
      <c r="D1507" s="25" t="s">
        <v>4128</v>
      </c>
      <c r="E1507" s="17">
        <v>1800</v>
      </c>
      <c r="F1507" s="12" t="s">
        <v>4216</v>
      </c>
      <c r="G1507" s="25" t="s">
        <v>4217</v>
      </c>
      <c r="H1507" s="25" t="s">
        <v>1651</v>
      </c>
      <c r="I1507" s="25" t="s">
        <v>1651</v>
      </c>
      <c r="J1507" s="162"/>
      <c r="K1507" s="62">
        <v>2</v>
      </c>
      <c r="L1507" s="25">
        <v>5</v>
      </c>
      <c r="M1507" s="1243">
        <v>9000</v>
      </c>
      <c r="N1507" s="62">
        <v>0</v>
      </c>
      <c r="O1507" s="25">
        <v>0</v>
      </c>
      <c r="P1507" s="17">
        <v>0</v>
      </c>
    </row>
    <row r="1508" spans="1:16" x14ac:dyDescent="0.2">
      <c r="A1508" s="62" t="s">
        <v>4122</v>
      </c>
      <c r="B1508" s="12" t="s">
        <v>4123</v>
      </c>
      <c r="C1508" s="12" t="s">
        <v>1444</v>
      </c>
      <c r="D1508" s="25" t="s">
        <v>4128</v>
      </c>
      <c r="E1508" s="17">
        <v>3100</v>
      </c>
      <c r="F1508" s="12" t="s">
        <v>4218</v>
      </c>
      <c r="G1508" s="25" t="s">
        <v>4219</v>
      </c>
      <c r="H1508" s="25" t="s">
        <v>1666</v>
      </c>
      <c r="I1508" s="25" t="s">
        <v>1666</v>
      </c>
      <c r="J1508" s="162"/>
      <c r="K1508" s="62">
        <v>6</v>
      </c>
      <c r="L1508" s="25">
        <v>10</v>
      </c>
      <c r="M1508" s="1243">
        <v>27140</v>
      </c>
      <c r="N1508" s="62">
        <v>3</v>
      </c>
      <c r="O1508" s="25">
        <v>6</v>
      </c>
      <c r="P1508" s="17">
        <v>18600</v>
      </c>
    </row>
    <row r="1509" spans="1:16" x14ac:dyDescent="0.2">
      <c r="A1509" s="62" t="s">
        <v>4122</v>
      </c>
      <c r="B1509" s="12" t="s">
        <v>4123</v>
      </c>
      <c r="C1509" s="12" t="s">
        <v>1444</v>
      </c>
      <c r="D1509" s="25" t="s">
        <v>1042</v>
      </c>
      <c r="E1509" s="17">
        <v>3000</v>
      </c>
      <c r="F1509" s="12" t="s">
        <v>4220</v>
      </c>
      <c r="G1509" s="25" t="s">
        <v>4221</v>
      </c>
      <c r="H1509" s="25" t="s">
        <v>4209</v>
      </c>
      <c r="I1509" s="25" t="s">
        <v>4209</v>
      </c>
      <c r="J1509" s="162"/>
      <c r="K1509" s="62">
        <v>1</v>
      </c>
      <c r="L1509" s="25">
        <v>2</v>
      </c>
      <c r="M1509" s="1243">
        <v>5662.5</v>
      </c>
      <c r="N1509" s="62">
        <v>0</v>
      </c>
      <c r="O1509" s="25">
        <v>0</v>
      </c>
      <c r="P1509" s="17">
        <v>0</v>
      </c>
    </row>
    <row r="1510" spans="1:16" x14ac:dyDescent="0.2">
      <c r="A1510" s="62" t="s">
        <v>4122</v>
      </c>
      <c r="B1510" s="12" t="s">
        <v>4123</v>
      </c>
      <c r="C1510" s="12" t="s">
        <v>1444</v>
      </c>
      <c r="D1510" s="25" t="s">
        <v>4128</v>
      </c>
      <c r="E1510" s="17">
        <v>3100</v>
      </c>
      <c r="F1510" s="12" t="s">
        <v>4222</v>
      </c>
      <c r="G1510" s="25" t="s">
        <v>4223</v>
      </c>
      <c r="H1510" s="25" t="s">
        <v>1666</v>
      </c>
      <c r="I1510" s="25" t="s">
        <v>1666</v>
      </c>
      <c r="J1510" s="162"/>
      <c r="K1510" s="62">
        <v>6</v>
      </c>
      <c r="L1510" s="25">
        <v>12</v>
      </c>
      <c r="M1510" s="1243">
        <v>36957.119999999995</v>
      </c>
      <c r="N1510" s="62">
        <v>3</v>
      </c>
      <c r="O1510" s="25">
        <v>6</v>
      </c>
      <c r="P1510" s="17">
        <v>18600</v>
      </c>
    </row>
    <row r="1511" spans="1:16" x14ac:dyDescent="0.2">
      <c r="A1511" s="62" t="s">
        <v>4122</v>
      </c>
      <c r="B1511" s="12" t="s">
        <v>4123</v>
      </c>
      <c r="C1511" s="12" t="s">
        <v>1444</v>
      </c>
      <c r="D1511" s="25" t="s">
        <v>1042</v>
      </c>
      <c r="E1511" s="17">
        <v>1800</v>
      </c>
      <c r="F1511" s="12" t="s">
        <v>4224</v>
      </c>
      <c r="G1511" s="25" t="s">
        <v>4225</v>
      </c>
      <c r="H1511" s="25" t="s">
        <v>904</v>
      </c>
      <c r="I1511" s="25" t="s">
        <v>904</v>
      </c>
      <c r="J1511" s="162"/>
      <c r="K1511" s="62">
        <v>6</v>
      </c>
      <c r="L1511" s="25">
        <v>9</v>
      </c>
      <c r="M1511" s="1243">
        <v>15815.81</v>
      </c>
      <c r="N1511" s="62">
        <v>3</v>
      </c>
      <c r="O1511" s="25">
        <v>6</v>
      </c>
      <c r="P1511" s="17">
        <v>10800</v>
      </c>
    </row>
    <row r="1512" spans="1:16" x14ac:dyDescent="0.2">
      <c r="A1512" s="62" t="s">
        <v>4122</v>
      </c>
      <c r="B1512" s="12" t="s">
        <v>4123</v>
      </c>
      <c r="C1512" s="12" t="s">
        <v>1444</v>
      </c>
      <c r="D1512" s="25" t="s">
        <v>1042</v>
      </c>
      <c r="E1512" s="17">
        <v>3100</v>
      </c>
      <c r="F1512" s="12" t="s">
        <v>4226</v>
      </c>
      <c r="G1512" s="25" t="s">
        <v>4227</v>
      </c>
      <c r="H1512" s="25" t="s">
        <v>4228</v>
      </c>
      <c r="I1512" s="25" t="s">
        <v>4228</v>
      </c>
      <c r="J1512" s="162"/>
      <c r="K1512" s="62">
        <v>6</v>
      </c>
      <c r="L1512" s="25">
        <v>12</v>
      </c>
      <c r="M1512" s="1243">
        <v>36274.18</v>
      </c>
      <c r="N1512" s="62">
        <v>3</v>
      </c>
      <c r="O1512" s="25">
        <v>6</v>
      </c>
      <c r="P1512" s="17">
        <v>18600</v>
      </c>
    </row>
    <row r="1513" spans="1:16" x14ac:dyDescent="0.2">
      <c r="A1513" s="62" t="s">
        <v>4122</v>
      </c>
      <c r="B1513" s="12" t="s">
        <v>4123</v>
      </c>
      <c r="C1513" s="12" t="s">
        <v>1444</v>
      </c>
      <c r="D1513" s="25" t="s">
        <v>1042</v>
      </c>
      <c r="E1513" s="17">
        <v>8000</v>
      </c>
      <c r="F1513" s="12" t="s">
        <v>4229</v>
      </c>
      <c r="G1513" s="25" t="s">
        <v>4230</v>
      </c>
      <c r="H1513" s="25" t="s">
        <v>4231</v>
      </c>
      <c r="I1513" s="25" t="s">
        <v>4231</v>
      </c>
      <c r="J1513" s="162"/>
      <c r="K1513" s="62">
        <v>6</v>
      </c>
      <c r="L1513" s="25">
        <v>9</v>
      </c>
      <c r="M1513" s="1243">
        <v>71741.94</v>
      </c>
      <c r="N1513" s="62">
        <v>0</v>
      </c>
      <c r="O1513" s="25">
        <v>0</v>
      </c>
      <c r="P1513" s="17">
        <v>0</v>
      </c>
    </row>
    <row r="1514" spans="1:16" x14ac:dyDescent="0.2">
      <c r="A1514" s="62" t="s">
        <v>4122</v>
      </c>
      <c r="B1514" s="12" t="s">
        <v>4123</v>
      </c>
      <c r="C1514" s="12" t="s">
        <v>1444</v>
      </c>
      <c r="D1514" s="25" t="s">
        <v>4128</v>
      </c>
      <c r="E1514" s="17">
        <v>3100</v>
      </c>
      <c r="F1514" s="12" t="s">
        <v>4232</v>
      </c>
      <c r="G1514" s="25" t="s">
        <v>4233</v>
      </c>
      <c r="H1514" s="25" t="s">
        <v>1666</v>
      </c>
      <c r="I1514" s="25" t="s">
        <v>1666</v>
      </c>
      <c r="J1514" s="162"/>
      <c r="K1514" s="62">
        <v>6</v>
      </c>
      <c r="L1514" s="25">
        <v>12</v>
      </c>
      <c r="M1514" s="1243">
        <v>35985.439999999995</v>
      </c>
      <c r="N1514" s="62">
        <v>3</v>
      </c>
      <c r="O1514" s="25">
        <v>6</v>
      </c>
      <c r="P1514" s="17">
        <v>18600</v>
      </c>
    </row>
    <row r="1515" spans="1:16" x14ac:dyDescent="0.2">
      <c r="A1515" s="62" t="s">
        <v>4122</v>
      </c>
      <c r="B1515" s="12" t="s">
        <v>4123</v>
      </c>
      <c r="C1515" s="12" t="s">
        <v>1444</v>
      </c>
      <c r="D1515" s="25" t="s">
        <v>4128</v>
      </c>
      <c r="E1515" s="17">
        <v>3500</v>
      </c>
      <c r="F1515" s="12" t="s">
        <v>4234</v>
      </c>
      <c r="G1515" s="25" t="s">
        <v>4235</v>
      </c>
      <c r="H1515" s="25" t="s">
        <v>1646</v>
      </c>
      <c r="I1515" s="25" t="s">
        <v>1646</v>
      </c>
      <c r="J1515" s="162"/>
      <c r="K1515" s="62">
        <v>6</v>
      </c>
      <c r="L1515" s="25">
        <v>11</v>
      </c>
      <c r="M1515" s="1243">
        <v>38328.769999999997</v>
      </c>
      <c r="N1515" s="62">
        <v>0</v>
      </c>
      <c r="O1515" s="25">
        <v>0</v>
      </c>
      <c r="P1515" s="17">
        <v>0</v>
      </c>
    </row>
    <row r="1516" spans="1:16" x14ac:dyDescent="0.2">
      <c r="A1516" s="62" t="s">
        <v>4122</v>
      </c>
      <c r="B1516" s="12" t="s">
        <v>4123</v>
      </c>
      <c r="C1516" s="12" t="s">
        <v>1444</v>
      </c>
      <c r="D1516" s="25" t="s">
        <v>1042</v>
      </c>
      <c r="E1516" s="17">
        <v>2000</v>
      </c>
      <c r="F1516" s="12" t="s">
        <v>4236</v>
      </c>
      <c r="G1516" s="25" t="s">
        <v>4237</v>
      </c>
      <c r="H1516" s="25" t="s">
        <v>904</v>
      </c>
      <c r="I1516" s="25" t="s">
        <v>904</v>
      </c>
      <c r="J1516" s="162"/>
      <c r="K1516" s="62">
        <v>6</v>
      </c>
      <c r="L1516" s="25">
        <v>11</v>
      </c>
      <c r="M1516" s="1243">
        <v>21935.48</v>
      </c>
      <c r="N1516" s="62">
        <v>0</v>
      </c>
      <c r="O1516" s="25">
        <v>0</v>
      </c>
      <c r="P1516" s="17">
        <v>0</v>
      </c>
    </row>
    <row r="1517" spans="1:16" x14ac:dyDescent="0.2">
      <c r="A1517" s="62" t="s">
        <v>4122</v>
      </c>
      <c r="B1517" s="12" t="s">
        <v>4123</v>
      </c>
      <c r="C1517" s="12" t="s">
        <v>1444</v>
      </c>
      <c r="D1517" s="25" t="s">
        <v>1042</v>
      </c>
      <c r="E1517" s="17">
        <v>6451.61</v>
      </c>
      <c r="F1517" s="12" t="s">
        <v>4238</v>
      </c>
      <c r="G1517" s="25" t="s">
        <v>4239</v>
      </c>
      <c r="H1517" s="25" t="s">
        <v>2225</v>
      </c>
      <c r="I1517" s="25" t="s">
        <v>2225</v>
      </c>
      <c r="J1517" s="162"/>
      <c r="K1517" s="62">
        <v>1</v>
      </c>
      <c r="L1517" s="25">
        <v>1</v>
      </c>
      <c r="M1517" s="1243">
        <v>6451.61</v>
      </c>
      <c r="N1517" s="62">
        <v>0</v>
      </c>
      <c r="O1517" s="25">
        <v>0</v>
      </c>
      <c r="P1517" s="17">
        <v>0</v>
      </c>
    </row>
    <row r="1518" spans="1:16" x14ac:dyDescent="0.2">
      <c r="A1518" s="62" t="s">
        <v>4122</v>
      </c>
      <c r="B1518" s="12" t="s">
        <v>4123</v>
      </c>
      <c r="C1518" s="12" t="s">
        <v>1444</v>
      </c>
      <c r="D1518" s="25" t="s">
        <v>1042</v>
      </c>
      <c r="E1518" s="17">
        <v>12500</v>
      </c>
      <c r="F1518" s="12" t="s">
        <v>4240</v>
      </c>
      <c r="G1518" s="25" t="s">
        <v>4241</v>
      </c>
      <c r="H1518" s="25" t="s">
        <v>2225</v>
      </c>
      <c r="I1518" s="25" t="s">
        <v>2225</v>
      </c>
      <c r="J1518" s="162"/>
      <c r="K1518" s="62">
        <v>6</v>
      </c>
      <c r="L1518" s="25">
        <v>10</v>
      </c>
      <c r="M1518" s="1243">
        <v>144166.66999999998</v>
      </c>
      <c r="N1518" s="62">
        <v>3</v>
      </c>
      <c r="O1518" s="25">
        <v>6</v>
      </c>
      <c r="P1518" s="17">
        <v>75000</v>
      </c>
    </row>
    <row r="1519" spans="1:16" x14ac:dyDescent="0.2">
      <c r="A1519" s="62" t="s">
        <v>4122</v>
      </c>
      <c r="B1519" s="12" t="s">
        <v>4123</v>
      </c>
      <c r="C1519" s="12" t="s">
        <v>1444</v>
      </c>
      <c r="D1519" s="25" t="s">
        <v>4128</v>
      </c>
      <c r="E1519" s="17">
        <v>3100</v>
      </c>
      <c r="F1519" s="12" t="s">
        <v>4242</v>
      </c>
      <c r="G1519" s="25" t="s">
        <v>4243</v>
      </c>
      <c r="H1519" s="25" t="s">
        <v>2689</v>
      </c>
      <c r="I1519" s="25" t="s">
        <v>2689</v>
      </c>
      <c r="J1519" s="162"/>
      <c r="K1519" s="62">
        <v>2</v>
      </c>
      <c r="L1519" s="25">
        <v>5</v>
      </c>
      <c r="M1519" s="1243">
        <v>15500</v>
      </c>
      <c r="N1519" s="62">
        <v>0</v>
      </c>
      <c r="O1519" s="25">
        <v>0</v>
      </c>
      <c r="P1519" s="17">
        <v>0</v>
      </c>
    </row>
    <row r="1520" spans="1:16" x14ac:dyDescent="0.2">
      <c r="A1520" s="62" t="s">
        <v>4122</v>
      </c>
      <c r="B1520" s="12" t="s">
        <v>4123</v>
      </c>
      <c r="C1520" s="12" t="s">
        <v>1444</v>
      </c>
      <c r="D1520" s="25" t="s">
        <v>1042</v>
      </c>
      <c r="E1520" s="17">
        <v>6129.03</v>
      </c>
      <c r="F1520" s="12" t="s">
        <v>4244</v>
      </c>
      <c r="G1520" s="25" t="s">
        <v>4245</v>
      </c>
      <c r="H1520" s="25" t="s">
        <v>4246</v>
      </c>
      <c r="I1520" s="25" t="s">
        <v>4246</v>
      </c>
      <c r="J1520" s="162"/>
      <c r="K1520" s="62">
        <v>1</v>
      </c>
      <c r="L1520" s="25">
        <v>1</v>
      </c>
      <c r="M1520" s="1243">
        <v>6129.03</v>
      </c>
      <c r="N1520" s="62">
        <v>0</v>
      </c>
      <c r="O1520" s="25">
        <v>0</v>
      </c>
      <c r="P1520" s="17">
        <v>0</v>
      </c>
    </row>
    <row r="1521" spans="1:16" x14ac:dyDescent="0.2">
      <c r="A1521" s="62" t="s">
        <v>4122</v>
      </c>
      <c r="B1521" s="12" t="s">
        <v>4123</v>
      </c>
      <c r="C1521" s="12" t="s">
        <v>1444</v>
      </c>
      <c r="D1521" s="25" t="s">
        <v>4128</v>
      </c>
      <c r="E1521" s="17">
        <v>3100</v>
      </c>
      <c r="F1521" s="12" t="s">
        <v>4247</v>
      </c>
      <c r="G1521" s="25" t="s">
        <v>4248</v>
      </c>
      <c r="H1521" s="25" t="s">
        <v>1646</v>
      </c>
      <c r="I1521" s="25" t="s">
        <v>1646</v>
      </c>
      <c r="J1521" s="162"/>
      <c r="K1521" s="62">
        <v>1</v>
      </c>
      <c r="L1521" s="25">
        <v>2</v>
      </c>
      <c r="M1521" s="1243">
        <v>6200</v>
      </c>
      <c r="N1521" s="62">
        <v>0</v>
      </c>
      <c r="O1521" s="25">
        <v>0</v>
      </c>
      <c r="P1521" s="17">
        <v>0</v>
      </c>
    </row>
    <row r="1522" spans="1:16" x14ac:dyDescent="0.2">
      <c r="A1522" s="62" t="s">
        <v>4122</v>
      </c>
      <c r="B1522" s="12" t="s">
        <v>4123</v>
      </c>
      <c r="C1522" s="12" t="s">
        <v>1444</v>
      </c>
      <c r="D1522" s="25" t="s">
        <v>1042</v>
      </c>
      <c r="E1522" s="17">
        <v>3500</v>
      </c>
      <c r="F1522" s="12" t="s">
        <v>1033</v>
      </c>
      <c r="G1522" s="25" t="s">
        <v>4249</v>
      </c>
      <c r="H1522" s="25" t="s">
        <v>2684</v>
      </c>
      <c r="I1522" s="25" t="s">
        <v>2684</v>
      </c>
      <c r="J1522" s="162"/>
      <c r="K1522" s="62">
        <v>1</v>
      </c>
      <c r="L1522" s="25">
        <v>2</v>
      </c>
      <c r="M1522" s="1243">
        <v>7000</v>
      </c>
      <c r="N1522" s="62">
        <v>0</v>
      </c>
      <c r="O1522" s="25">
        <v>0</v>
      </c>
      <c r="P1522" s="17">
        <v>0</v>
      </c>
    </row>
    <row r="1523" spans="1:16" x14ac:dyDescent="0.2">
      <c r="A1523" s="62" t="s">
        <v>4122</v>
      </c>
      <c r="B1523" s="12" t="s">
        <v>4123</v>
      </c>
      <c r="C1523" s="12" t="s">
        <v>1444</v>
      </c>
      <c r="D1523" s="25" t="s">
        <v>4128</v>
      </c>
      <c r="E1523" s="17">
        <v>3100</v>
      </c>
      <c r="F1523" s="12" t="s">
        <v>4250</v>
      </c>
      <c r="G1523" s="25" t="s">
        <v>4251</v>
      </c>
      <c r="H1523" s="25" t="s">
        <v>1666</v>
      </c>
      <c r="I1523" s="25" t="s">
        <v>1666</v>
      </c>
      <c r="J1523" s="162"/>
      <c r="K1523" s="62">
        <v>1</v>
      </c>
      <c r="L1523" s="25">
        <v>2</v>
      </c>
      <c r="M1523" s="1243">
        <v>6200</v>
      </c>
      <c r="N1523" s="62">
        <v>0</v>
      </c>
      <c r="O1523" s="25">
        <v>0</v>
      </c>
      <c r="P1523" s="17">
        <v>0</v>
      </c>
    </row>
    <row r="1524" spans="1:16" x14ac:dyDescent="0.2">
      <c r="A1524" s="62" t="s">
        <v>4122</v>
      </c>
      <c r="B1524" s="12" t="s">
        <v>4123</v>
      </c>
      <c r="C1524" s="12" t="s">
        <v>1444</v>
      </c>
      <c r="D1524" s="25" t="s">
        <v>1042</v>
      </c>
      <c r="E1524" s="17">
        <v>1800</v>
      </c>
      <c r="F1524" s="12" t="s">
        <v>4252</v>
      </c>
      <c r="G1524" s="25" t="s">
        <v>4253</v>
      </c>
      <c r="H1524" s="25" t="s">
        <v>619</v>
      </c>
      <c r="I1524" s="25" t="s">
        <v>619</v>
      </c>
      <c r="J1524" s="162"/>
      <c r="K1524" s="62">
        <v>2</v>
      </c>
      <c r="L1524" s="25">
        <v>5</v>
      </c>
      <c r="M1524" s="1243">
        <v>9000</v>
      </c>
      <c r="N1524" s="62">
        <v>0</v>
      </c>
      <c r="O1524" s="25">
        <v>0</v>
      </c>
      <c r="P1524" s="17">
        <v>0</v>
      </c>
    </row>
    <row r="1525" spans="1:16" x14ac:dyDescent="0.2">
      <c r="A1525" s="62" t="s">
        <v>4122</v>
      </c>
      <c r="B1525" s="12" t="s">
        <v>4123</v>
      </c>
      <c r="C1525" s="12" t="s">
        <v>1444</v>
      </c>
      <c r="D1525" s="25" t="s">
        <v>1042</v>
      </c>
      <c r="E1525" s="17">
        <v>2000</v>
      </c>
      <c r="F1525" s="12" t="s">
        <v>4254</v>
      </c>
      <c r="G1525" s="25" t="s">
        <v>4255</v>
      </c>
      <c r="H1525" s="25" t="s">
        <v>4256</v>
      </c>
      <c r="I1525" s="25" t="s">
        <v>4256</v>
      </c>
      <c r="J1525" s="162"/>
      <c r="K1525" s="62">
        <v>2</v>
      </c>
      <c r="L1525" s="25">
        <v>5</v>
      </c>
      <c r="M1525" s="1243">
        <v>9975</v>
      </c>
      <c r="N1525" s="62">
        <v>0</v>
      </c>
      <c r="O1525" s="25">
        <v>0</v>
      </c>
      <c r="P1525" s="17">
        <v>0</v>
      </c>
    </row>
    <row r="1526" spans="1:16" x14ac:dyDescent="0.2">
      <c r="A1526" s="62" t="s">
        <v>4122</v>
      </c>
      <c r="B1526" s="12" t="s">
        <v>4123</v>
      </c>
      <c r="C1526" s="12" t="s">
        <v>1444</v>
      </c>
      <c r="D1526" s="25" t="s">
        <v>1042</v>
      </c>
      <c r="E1526" s="17">
        <v>2000</v>
      </c>
      <c r="F1526" s="12" t="s">
        <v>4257</v>
      </c>
      <c r="G1526" s="25" t="s">
        <v>4258</v>
      </c>
      <c r="H1526" s="25" t="s">
        <v>904</v>
      </c>
      <c r="I1526" s="25" t="s">
        <v>904</v>
      </c>
      <c r="J1526" s="162"/>
      <c r="K1526" s="62">
        <v>6</v>
      </c>
      <c r="L1526" s="25">
        <v>12</v>
      </c>
      <c r="M1526" s="1243">
        <v>23924.37</v>
      </c>
      <c r="N1526" s="62">
        <v>3</v>
      </c>
      <c r="O1526" s="25">
        <v>6</v>
      </c>
      <c r="P1526" s="17">
        <v>12000</v>
      </c>
    </row>
    <row r="1527" spans="1:16" x14ac:dyDescent="0.2">
      <c r="A1527" s="62" t="s">
        <v>4122</v>
      </c>
      <c r="B1527" s="12" t="s">
        <v>4123</v>
      </c>
      <c r="C1527" s="12" t="s">
        <v>1444</v>
      </c>
      <c r="D1527" s="25" t="s">
        <v>4128</v>
      </c>
      <c r="E1527" s="17">
        <v>3100</v>
      </c>
      <c r="F1527" s="12" t="s">
        <v>4259</v>
      </c>
      <c r="G1527" s="25" t="s">
        <v>4260</v>
      </c>
      <c r="H1527" s="25" t="s">
        <v>1666</v>
      </c>
      <c r="I1527" s="25" t="s">
        <v>1666</v>
      </c>
      <c r="J1527" s="162"/>
      <c r="K1527" s="62">
        <v>2</v>
      </c>
      <c r="L1527" s="25">
        <v>5</v>
      </c>
      <c r="M1527" s="1243">
        <v>15458.67</v>
      </c>
      <c r="N1527" s="62">
        <v>0</v>
      </c>
      <c r="O1527" s="25">
        <v>0</v>
      </c>
      <c r="P1527" s="17">
        <v>0</v>
      </c>
    </row>
    <row r="1528" spans="1:16" ht="12.75" thickBot="1" x14ac:dyDescent="0.25">
      <c r="A1528" s="65"/>
      <c r="B1528" s="1244"/>
      <c r="C1528" s="1244"/>
      <c r="D1528" s="1245"/>
      <c r="E1528" s="8"/>
      <c r="F1528" s="12"/>
      <c r="G1528" s="25"/>
      <c r="H1528" s="1245"/>
      <c r="I1528" s="12"/>
      <c r="J1528" s="162"/>
      <c r="K1528" s="1246"/>
      <c r="L1528" s="1247"/>
      <c r="M1528" s="17"/>
      <c r="N1528" s="1246"/>
      <c r="O1528" s="1247"/>
      <c r="P1528" s="1248"/>
    </row>
    <row r="1529" spans="1:16" ht="12.75" thickBot="1" x14ac:dyDescent="0.25">
      <c r="A1529" s="93"/>
      <c r="B1529" s="95"/>
      <c r="C1529" s="95"/>
      <c r="D1529" s="67"/>
      <c r="E1529" s="19"/>
      <c r="F1529" s="95"/>
      <c r="G1529" s="67"/>
      <c r="H1529" s="67"/>
      <c r="I1529" s="69"/>
      <c r="J1529" s="833"/>
      <c r="K1529" s="134"/>
      <c r="L1529" s="834"/>
      <c r="M1529" s="19"/>
      <c r="N1529" s="134"/>
      <c r="O1529" s="834"/>
      <c r="P1529" s="835"/>
    </row>
    <row r="1530" spans="1:16" x14ac:dyDescent="0.2">
      <c r="A1530" s="162" t="s">
        <v>412</v>
      </c>
      <c r="B1530" s="162"/>
      <c r="C1530" s="162"/>
      <c r="D1530" s="162"/>
      <c r="E1530" s="162"/>
      <c r="F1530" s="162"/>
      <c r="G1530" s="162"/>
      <c r="H1530" s="162"/>
      <c r="I1530" s="162"/>
      <c r="J1530" s="162"/>
      <c r="M1530" s="162"/>
      <c r="N1530" s="162"/>
      <c r="O1530" s="162"/>
      <c r="P1530" s="162"/>
    </row>
    <row r="1533" spans="1:16" x14ac:dyDescent="0.2">
      <c r="A1533" s="15" t="s">
        <v>436</v>
      </c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</row>
    <row r="1534" spans="1:16" x14ac:dyDescent="0.2">
      <c r="A1534" s="490" t="s">
        <v>4261</v>
      </c>
      <c r="B1534" s="490"/>
      <c r="C1534" s="490"/>
      <c r="D1534" s="490"/>
      <c r="E1534" s="490"/>
      <c r="F1534" s="490"/>
      <c r="G1534" s="490"/>
      <c r="H1534" s="490"/>
      <c r="I1534" s="490"/>
      <c r="J1534" s="490"/>
      <c r="K1534" s="490"/>
      <c r="L1534" s="490"/>
      <c r="M1534" s="490"/>
      <c r="N1534" s="490"/>
      <c r="O1534" s="490"/>
      <c r="P1534" s="490"/>
    </row>
    <row r="1535" spans="1:16" ht="12.75" thickBot="1" x14ac:dyDescent="0.25">
      <c r="A1535" s="490" t="s">
        <v>4262</v>
      </c>
      <c r="B1535" s="162"/>
      <c r="C1535" s="162"/>
      <c r="D1535" s="162"/>
      <c r="E1535" s="162"/>
      <c r="F1535" s="162"/>
      <c r="G1535" s="162"/>
      <c r="H1535" s="162"/>
      <c r="I1535" s="162"/>
      <c r="J1535" s="162"/>
      <c r="M1535" s="162"/>
      <c r="N1535" s="162"/>
      <c r="O1535" s="162"/>
      <c r="P1535" s="162"/>
    </row>
    <row r="1536" spans="1:16" ht="12.75" thickBot="1" x14ac:dyDescent="0.25">
      <c r="A1536" s="1534" t="s">
        <v>147</v>
      </c>
      <c r="B1536" s="1535"/>
      <c r="C1536" s="1535"/>
      <c r="D1536" s="1535"/>
      <c r="E1536" s="1536"/>
      <c r="F1536" s="1537" t="s">
        <v>148</v>
      </c>
      <c r="G1536" s="1538"/>
      <c r="H1536" s="1539"/>
      <c r="I1536" s="1539"/>
      <c r="J1536" s="1540"/>
      <c r="K1536" s="1531" t="s">
        <v>1637</v>
      </c>
      <c r="L1536" s="1532"/>
      <c r="M1536" s="1533"/>
      <c r="N1536" s="1531" t="s">
        <v>1638</v>
      </c>
      <c r="O1536" s="1532"/>
      <c r="P1536" s="1533"/>
    </row>
    <row r="1537" spans="1:16" ht="99" thickBot="1" x14ac:dyDescent="0.25">
      <c r="A1537" s="511" t="s">
        <v>105</v>
      </c>
      <c r="B1537" s="267" t="s">
        <v>8</v>
      </c>
      <c r="C1537" s="267" t="s">
        <v>102</v>
      </c>
      <c r="D1537" s="512" t="s">
        <v>106</v>
      </c>
      <c r="E1537" s="513" t="s">
        <v>128</v>
      </c>
      <c r="F1537" s="511" t="s">
        <v>135</v>
      </c>
      <c r="G1537" s="512" t="s">
        <v>136</v>
      </c>
      <c r="H1537" s="512" t="s">
        <v>150</v>
      </c>
      <c r="I1537" s="267" t="s">
        <v>151</v>
      </c>
      <c r="J1537" s="510" t="s">
        <v>140</v>
      </c>
      <c r="K1537" s="271" t="s">
        <v>137</v>
      </c>
      <c r="L1537" s="272" t="s">
        <v>138</v>
      </c>
      <c r="M1537" s="273" t="s">
        <v>139</v>
      </c>
      <c r="N1537" s="271" t="s">
        <v>137</v>
      </c>
      <c r="O1537" s="272" t="s">
        <v>138</v>
      </c>
      <c r="P1537" s="273" t="s">
        <v>139</v>
      </c>
    </row>
    <row r="1538" spans="1:16" x14ac:dyDescent="0.2">
      <c r="A1538" s="62"/>
      <c r="B1538" s="12"/>
      <c r="C1538" s="1400" t="s">
        <v>1444</v>
      </c>
      <c r="D1538" s="25"/>
      <c r="E1538" s="17"/>
      <c r="F1538" s="1401"/>
      <c r="G1538" s="25"/>
      <c r="H1538" s="25"/>
      <c r="I1538" s="12"/>
      <c r="J1538" s="162"/>
      <c r="K1538" s="1246"/>
      <c r="L1538" s="1247"/>
      <c r="M1538" s="17"/>
      <c r="N1538" s="1246"/>
      <c r="O1538" s="1247"/>
      <c r="P1538" s="1248"/>
    </row>
    <row r="1539" spans="1:16" x14ac:dyDescent="0.2">
      <c r="A1539" s="1402">
        <v>301</v>
      </c>
      <c r="B1539" s="1403" t="s">
        <v>4361</v>
      </c>
      <c r="C1539" s="12" t="s">
        <v>1444</v>
      </c>
      <c r="D1539" s="25" t="s">
        <v>4362</v>
      </c>
      <c r="E1539" s="17">
        <v>1200</v>
      </c>
      <c r="F1539" s="1401" t="s">
        <v>4363</v>
      </c>
      <c r="G1539" s="25" t="s">
        <v>4364</v>
      </c>
      <c r="H1539" s="25"/>
      <c r="I1539" s="12" t="s">
        <v>4365</v>
      </c>
      <c r="J1539" s="162" t="s">
        <v>4366</v>
      </c>
      <c r="K1539" s="1402">
        <v>1</v>
      </c>
      <c r="L1539" s="1136">
        <v>12</v>
      </c>
      <c r="M1539" s="1404">
        <v>17000</v>
      </c>
      <c r="N1539" s="1402">
        <v>1</v>
      </c>
      <c r="O1539" s="1136">
        <v>6</v>
      </c>
      <c r="P1539" s="1405">
        <f>17000/2</f>
        <v>8500</v>
      </c>
    </row>
    <row r="1540" spans="1:16" x14ac:dyDescent="0.2">
      <c r="A1540" s="1402">
        <v>301</v>
      </c>
      <c r="B1540" s="1403" t="s">
        <v>4361</v>
      </c>
      <c r="C1540" s="12" t="s">
        <v>1444</v>
      </c>
      <c r="D1540" s="25" t="s">
        <v>4367</v>
      </c>
      <c r="E1540" s="17">
        <v>1000</v>
      </c>
      <c r="F1540" s="1401">
        <v>48791270</v>
      </c>
      <c r="G1540" s="25" t="s">
        <v>4368</v>
      </c>
      <c r="H1540" s="25"/>
      <c r="I1540" s="12" t="s">
        <v>4369</v>
      </c>
      <c r="J1540" s="162" t="s">
        <v>4370</v>
      </c>
      <c r="K1540" s="1402">
        <v>1</v>
      </c>
      <c r="L1540" s="1136">
        <v>12</v>
      </c>
      <c r="M1540" s="1404">
        <v>17000</v>
      </c>
      <c r="N1540" s="1402">
        <v>1</v>
      </c>
      <c r="O1540" s="1136">
        <v>6</v>
      </c>
      <c r="P1540" s="1405">
        <f>M1540/2</f>
        <v>8500</v>
      </c>
    </row>
    <row r="1541" spans="1:16" x14ac:dyDescent="0.2">
      <c r="A1541" s="1402">
        <v>301</v>
      </c>
      <c r="B1541" s="1403" t="s">
        <v>4361</v>
      </c>
      <c r="C1541" s="12" t="s">
        <v>1444</v>
      </c>
      <c r="D1541" s="25" t="s">
        <v>4371</v>
      </c>
      <c r="E1541" s="17">
        <v>1000</v>
      </c>
      <c r="F1541" s="1401">
        <v>73885840</v>
      </c>
      <c r="G1541" s="25" t="s">
        <v>4372</v>
      </c>
      <c r="H1541" s="25"/>
      <c r="I1541" s="12" t="s">
        <v>4369</v>
      </c>
      <c r="J1541" s="162" t="s">
        <v>4370</v>
      </c>
      <c r="K1541" s="1402">
        <v>1</v>
      </c>
      <c r="L1541" s="1136">
        <v>12</v>
      </c>
      <c r="M1541" s="1404">
        <v>17000</v>
      </c>
      <c r="N1541" s="1402">
        <v>1</v>
      </c>
      <c r="O1541" s="1136">
        <v>6</v>
      </c>
      <c r="P1541" s="1405">
        <f>M1541/2</f>
        <v>8500</v>
      </c>
    </row>
    <row r="1542" spans="1:16" x14ac:dyDescent="0.2">
      <c r="A1542" s="1402"/>
      <c r="B1542" s="1403"/>
      <c r="C1542" s="12"/>
      <c r="D1542" s="25"/>
      <c r="E1542" s="17"/>
      <c r="F1542" s="1401"/>
      <c r="G1542" s="25"/>
      <c r="H1542" s="25"/>
      <c r="I1542" s="12"/>
      <c r="J1542" s="162"/>
      <c r="K1542" s="1402"/>
      <c r="L1542" s="1136"/>
      <c r="M1542" s="1404"/>
      <c r="N1542" s="1402"/>
      <c r="O1542" s="1136"/>
      <c r="P1542" s="1405"/>
    </row>
    <row r="1543" spans="1:16" x14ac:dyDescent="0.2">
      <c r="A1543" s="1402"/>
      <c r="B1543" s="12"/>
      <c r="C1543" s="1400" t="s">
        <v>4373</v>
      </c>
      <c r="D1543" s="25"/>
      <c r="E1543" s="74"/>
      <c r="F1543" s="1401"/>
      <c r="G1543" s="12"/>
      <c r="H1543" s="12"/>
      <c r="I1543" s="12"/>
      <c r="J1543" s="162"/>
      <c r="K1543" s="1406"/>
      <c r="L1543" s="1407"/>
      <c r="M1543" s="1404"/>
      <c r="N1543" s="1406"/>
      <c r="O1543" s="1407"/>
      <c r="P1543" s="1408"/>
    </row>
    <row r="1544" spans="1:16" x14ac:dyDescent="0.2">
      <c r="A1544" s="1402">
        <v>301</v>
      </c>
      <c r="B1544" s="1403" t="s">
        <v>4374</v>
      </c>
      <c r="C1544" s="12" t="s">
        <v>4373</v>
      </c>
      <c r="D1544" s="25" t="s">
        <v>4375</v>
      </c>
      <c r="E1544" s="74">
        <v>1680</v>
      </c>
      <c r="F1544" s="1409">
        <v>71873676</v>
      </c>
      <c r="G1544" s="1410" t="s">
        <v>4376</v>
      </c>
      <c r="H1544" s="12"/>
      <c r="I1544" s="12" t="s">
        <v>4369</v>
      </c>
      <c r="J1544" s="162" t="s">
        <v>4377</v>
      </c>
      <c r="K1544" s="1411">
        <v>3</v>
      </c>
      <c r="L1544" s="1412">
        <v>10</v>
      </c>
      <c r="M1544" s="1404">
        <f>E1544*L1544</f>
        <v>16800</v>
      </c>
      <c r="N1544" s="1136">
        <v>0</v>
      </c>
      <c r="O1544" s="1136">
        <v>0</v>
      </c>
      <c r="P1544" s="1413">
        <v>0</v>
      </c>
    </row>
    <row r="1545" spans="1:16" x14ac:dyDescent="0.2">
      <c r="A1545" s="1402">
        <v>301</v>
      </c>
      <c r="B1545" s="1403" t="s">
        <v>4374</v>
      </c>
      <c r="C1545" s="12" t="s">
        <v>4373</v>
      </c>
      <c r="D1545" s="25" t="s">
        <v>4375</v>
      </c>
      <c r="E1545" s="74">
        <v>1680</v>
      </c>
      <c r="F1545" s="1409">
        <v>70158782</v>
      </c>
      <c r="G1545" s="1410" t="s">
        <v>4378</v>
      </c>
      <c r="H1545" s="12"/>
      <c r="I1545" s="12" t="s">
        <v>4369</v>
      </c>
      <c r="J1545" s="162" t="s">
        <v>4377</v>
      </c>
      <c r="K1545" s="1411">
        <v>3</v>
      </c>
      <c r="L1545" s="1412">
        <v>10</v>
      </c>
      <c r="M1545" s="1404">
        <f t="shared" ref="M1545:M1550" si="28">E1545*L1545</f>
        <v>16800</v>
      </c>
      <c r="N1545" s="1136">
        <v>0</v>
      </c>
      <c r="O1545" s="1136">
        <v>0</v>
      </c>
      <c r="P1545" s="1413">
        <v>0</v>
      </c>
    </row>
    <row r="1546" spans="1:16" x14ac:dyDescent="0.2">
      <c r="A1546" s="1402">
        <v>301</v>
      </c>
      <c r="B1546" s="1403" t="s">
        <v>4374</v>
      </c>
      <c r="C1546" s="12" t="s">
        <v>4373</v>
      </c>
      <c r="D1546" s="25" t="s">
        <v>4375</v>
      </c>
      <c r="E1546" s="74">
        <v>1680</v>
      </c>
      <c r="F1546" s="1409">
        <v>44855887</v>
      </c>
      <c r="G1546" s="1410" t="s">
        <v>4379</v>
      </c>
      <c r="H1546" s="12"/>
      <c r="I1546" s="12" t="s">
        <v>4369</v>
      </c>
      <c r="J1546" s="162" t="s">
        <v>4377</v>
      </c>
      <c r="K1546" s="1411">
        <v>3</v>
      </c>
      <c r="L1546" s="1412">
        <v>10</v>
      </c>
      <c r="M1546" s="1404">
        <f t="shared" si="28"/>
        <v>16800</v>
      </c>
      <c r="N1546" s="1136">
        <v>0</v>
      </c>
      <c r="O1546" s="1136">
        <v>0</v>
      </c>
      <c r="P1546" s="1413">
        <v>0</v>
      </c>
    </row>
    <row r="1547" spans="1:16" x14ac:dyDescent="0.2">
      <c r="A1547" s="1402">
        <v>301</v>
      </c>
      <c r="B1547" s="1403" t="s">
        <v>4374</v>
      </c>
      <c r="C1547" s="12" t="s">
        <v>4373</v>
      </c>
      <c r="D1547" s="25" t="s">
        <v>4375</v>
      </c>
      <c r="E1547" s="74">
        <v>1680</v>
      </c>
      <c r="F1547" s="1409">
        <v>47951075</v>
      </c>
      <c r="G1547" s="1410" t="s">
        <v>4380</v>
      </c>
      <c r="H1547" s="12"/>
      <c r="I1547" s="12" t="s">
        <v>4369</v>
      </c>
      <c r="J1547" s="162" t="s">
        <v>4377</v>
      </c>
      <c r="K1547" s="1411">
        <v>3</v>
      </c>
      <c r="L1547" s="1412">
        <v>10</v>
      </c>
      <c r="M1547" s="1404">
        <f t="shared" si="28"/>
        <v>16800</v>
      </c>
      <c r="N1547" s="1136">
        <v>0</v>
      </c>
      <c r="O1547" s="1136">
        <v>0</v>
      </c>
      <c r="P1547" s="1413">
        <v>0</v>
      </c>
    </row>
    <row r="1548" spans="1:16" x14ac:dyDescent="0.2">
      <c r="A1548" s="1402">
        <v>301</v>
      </c>
      <c r="B1548" s="1403" t="s">
        <v>4374</v>
      </c>
      <c r="C1548" s="12" t="s">
        <v>4373</v>
      </c>
      <c r="D1548" s="25" t="s">
        <v>4375</v>
      </c>
      <c r="E1548" s="74">
        <v>1680</v>
      </c>
      <c r="F1548" s="1409">
        <v>72861284</v>
      </c>
      <c r="G1548" s="1410" t="s">
        <v>4381</v>
      </c>
      <c r="H1548" s="12"/>
      <c r="I1548" s="12" t="s">
        <v>4369</v>
      </c>
      <c r="J1548" s="162" t="s">
        <v>4377</v>
      </c>
      <c r="K1548" s="1411">
        <v>3</v>
      </c>
      <c r="L1548" s="1412">
        <v>10</v>
      </c>
      <c r="M1548" s="1404">
        <f t="shared" si="28"/>
        <v>16800</v>
      </c>
      <c r="N1548" s="1136">
        <v>0</v>
      </c>
      <c r="O1548" s="1136">
        <v>0</v>
      </c>
      <c r="P1548" s="1413">
        <v>0</v>
      </c>
    </row>
    <row r="1549" spans="1:16" x14ac:dyDescent="0.2">
      <c r="A1549" s="1402">
        <v>301</v>
      </c>
      <c r="B1549" s="1403" t="s">
        <v>4374</v>
      </c>
      <c r="C1549" s="12" t="s">
        <v>4373</v>
      </c>
      <c r="D1549" s="25" t="s">
        <v>4375</v>
      </c>
      <c r="E1549" s="74">
        <v>1680</v>
      </c>
      <c r="F1549" s="1409">
        <v>46081053</v>
      </c>
      <c r="G1549" s="1410" t="s">
        <v>4382</v>
      </c>
      <c r="H1549" s="12"/>
      <c r="I1549" s="12" t="s">
        <v>4369</v>
      </c>
      <c r="J1549" s="162" t="s">
        <v>4377</v>
      </c>
      <c r="K1549" s="1411">
        <v>3</v>
      </c>
      <c r="L1549" s="1412">
        <v>10</v>
      </c>
      <c r="M1549" s="1404">
        <f t="shared" si="28"/>
        <v>16800</v>
      </c>
      <c r="N1549" s="1136">
        <v>0</v>
      </c>
      <c r="O1549" s="1136">
        <v>0</v>
      </c>
      <c r="P1549" s="1413">
        <v>0</v>
      </c>
    </row>
    <row r="1550" spans="1:16" x14ac:dyDescent="0.2">
      <c r="A1550" s="1402">
        <v>301</v>
      </c>
      <c r="B1550" s="1403" t="s">
        <v>4374</v>
      </c>
      <c r="C1550" s="12" t="s">
        <v>4373</v>
      </c>
      <c r="D1550" s="25" t="s">
        <v>4375</v>
      </c>
      <c r="E1550" s="74">
        <v>1680</v>
      </c>
      <c r="F1550" s="1409">
        <v>45436601</v>
      </c>
      <c r="G1550" s="1410" t="s">
        <v>4383</v>
      </c>
      <c r="H1550" s="12"/>
      <c r="I1550" s="12" t="s">
        <v>4369</v>
      </c>
      <c r="J1550" s="162" t="s">
        <v>4377</v>
      </c>
      <c r="K1550" s="1411">
        <v>3</v>
      </c>
      <c r="L1550" s="1412">
        <v>10</v>
      </c>
      <c r="M1550" s="1404">
        <f t="shared" si="28"/>
        <v>16800</v>
      </c>
      <c r="N1550" s="1136">
        <v>0</v>
      </c>
      <c r="O1550" s="1136">
        <v>0</v>
      </c>
      <c r="P1550" s="1413">
        <v>0</v>
      </c>
    </row>
    <row r="1551" spans="1:16" x14ac:dyDescent="0.2">
      <c r="A1551" s="1402">
        <v>301</v>
      </c>
      <c r="B1551" s="1403" t="s">
        <v>4374</v>
      </c>
      <c r="C1551" s="12" t="s">
        <v>4373</v>
      </c>
      <c r="D1551" s="25" t="s">
        <v>4375</v>
      </c>
      <c r="E1551" s="74"/>
      <c r="F1551" s="1401"/>
      <c r="G1551" s="12"/>
      <c r="H1551" s="12"/>
      <c r="I1551" s="12"/>
      <c r="J1551" s="162"/>
      <c r="K1551" s="1411"/>
      <c r="L1551" s="1407"/>
      <c r="M1551" s="1414"/>
      <c r="N1551" s="1406"/>
      <c r="O1551" s="1407"/>
      <c r="P1551" s="1408"/>
    </row>
    <row r="1552" spans="1:16" ht="12.75" thickBot="1" x14ac:dyDescent="0.25">
      <c r="A1552" s="1402"/>
      <c r="B1552" s="1403"/>
      <c r="C1552" s="12"/>
      <c r="D1552" s="25"/>
      <c r="E1552" s="17"/>
      <c r="F1552" s="1401"/>
      <c r="G1552" s="25"/>
      <c r="H1552" s="25"/>
      <c r="I1552" s="12"/>
      <c r="J1552" s="162"/>
      <c r="K1552" s="1246"/>
      <c r="L1552" s="1247"/>
      <c r="M1552" s="17"/>
      <c r="N1552" s="1246"/>
      <c r="O1552" s="1247"/>
      <c r="P1552" s="1248"/>
    </row>
    <row r="1553" spans="1:16" ht="12.75" thickBot="1" x14ac:dyDescent="0.25">
      <c r="A1553" s="93"/>
      <c r="B1553" s="95"/>
      <c r="C1553" s="95"/>
      <c r="D1553" s="67"/>
      <c r="E1553" s="19"/>
      <c r="F1553" s="95"/>
      <c r="G1553" s="67"/>
      <c r="H1553" s="67"/>
      <c r="I1553" s="69"/>
      <c r="J1553" s="833"/>
      <c r="K1553" s="1415">
        <f>SUM(K1539:K1552)</f>
        <v>24</v>
      </c>
      <c r="L1553" s="834"/>
      <c r="M1553" s="1416">
        <f>SUM(M1539:M1552)</f>
        <v>168600</v>
      </c>
      <c r="N1553" s="1415">
        <f>SUM(N1539:N1552)</f>
        <v>3</v>
      </c>
      <c r="O1553" s="834"/>
      <c r="P1553" s="1416">
        <f>SUM(P1539:P1552)</f>
        <v>25500</v>
      </c>
    </row>
    <row r="1554" spans="1:16" x14ac:dyDescent="0.2">
      <c r="A1554" s="162" t="s">
        <v>412</v>
      </c>
      <c r="B1554" s="162"/>
      <c r="C1554" s="162"/>
      <c r="D1554" s="162"/>
      <c r="E1554" s="162"/>
      <c r="F1554" s="162"/>
      <c r="G1554" s="162"/>
      <c r="H1554" s="162"/>
      <c r="I1554" s="162"/>
      <c r="J1554" s="162"/>
      <c r="M1554" s="162"/>
      <c r="N1554" s="162"/>
      <c r="O1554" s="162"/>
      <c r="P1554" s="162"/>
    </row>
  </sheetData>
  <protectedRanges>
    <protectedRange sqref="G318" name="Rango5_1"/>
    <protectedRange sqref="G367" name="Rango5_3"/>
    <protectedRange sqref="G431 G393 G416:G423 G411:G414 G395:G409" name="Rango5_2"/>
    <protectedRange sqref="G415" name="Rango5_1_1"/>
    <protectedRange sqref="G424 G427 G429:G430" name="Rango5_2_2"/>
  </protectedRanges>
  <mergeCells count="28">
    <mergeCell ref="A1536:E1536"/>
    <mergeCell ref="F1536:J1536"/>
    <mergeCell ref="K1536:M1536"/>
    <mergeCell ref="N1536:P1536"/>
    <mergeCell ref="A876:E876"/>
    <mergeCell ref="F876:J876"/>
    <mergeCell ref="K876:M876"/>
    <mergeCell ref="N876:P876"/>
    <mergeCell ref="A1462:E1462"/>
    <mergeCell ref="F1462:J1462"/>
    <mergeCell ref="K1462:M1462"/>
    <mergeCell ref="N1462:P1462"/>
    <mergeCell ref="A490:E490"/>
    <mergeCell ref="F490:J490"/>
    <mergeCell ref="K490:M490"/>
    <mergeCell ref="N490:P490"/>
    <mergeCell ref="A512:E512"/>
    <mergeCell ref="F512:J512"/>
    <mergeCell ref="K512:M512"/>
    <mergeCell ref="N512:P512"/>
    <mergeCell ref="K4:M4"/>
    <mergeCell ref="N4:P4"/>
    <mergeCell ref="A4:E4"/>
    <mergeCell ref="F4:J4"/>
    <mergeCell ref="A281:E281"/>
    <mergeCell ref="F281:J281"/>
    <mergeCell ref="K281:M281"/>
    <mergeCell ref="N281:P281"/>
  </mergeCells>
  <conditionalFormatting sqref="G680">
    <cfRule type="duplicateValues" dxfId="10" priority="4" stopIfTrue="1"/>
  </conditionalFormatting>
  <conditionalFormatting sqref="F663">
    <cfRule type="duplicateValues" dxfId="9" priority="1" stopIfTrue="1"/>
  </conditionalFormatting>
  <conditionalFormatting sqref="F666">
    <cfRule type="duplicateValues" dxfId="8" priority="2" stopIfTrue="1"/>
  </conditionalFormatting>
  <conditionalFormatting sqref="F554">
    <cfRule type="duplicateValues" dxfId="7" priority="3" stopIfTrue="1"/>
  </conditionalFormatting>
  <conditionalFormatting sqref="G671:G678">
    <cfRule type="duplicateValues" dxfId="6" priority="5" stopIfTrue="1"/>
  </conditionalFormatting>
  <conditionalFormatting sqref="F664:F665 F661:F662">
    <cfRule type="duplicateValues" dxfId="5" priority="6" stopIfTrue="1"/>
  </conditionalFormatting>
  <conditionalFormatting sqref="F664:F665 F662">
    <cfRule type="duplicateValues" dxfId="4" priority="7" stopIfTrue="1"/>
  </conditionalFormatting>
  <conditionalFormatting sqref="F655:F660">
    <cfRule type="duplicateValues" dxfId="3" priority="8" stopIfTrue="1"/>
  </conditionalFormatting>
  <conditionalFormatting sqref="G514:G670">
    <cfRule type="duplicateValues" dxfId="2" priority="9" stopIfTrue="1"/>
  </conditionalFormatting>
  <conditionalFormatting sqref="F667:F681">
    <cfRule type="duplicateValues" dxfId="1" priority="10" stopIfTrue="1"/>
  </conditionalFormatting>
  <conditionalFormatting sqref="F514:F654">
    <cfRule type="duplicateValues" dxfId="0" priority="11" stopIfTrue="1"/>
  </conditionalFormatting>
  <printOptions horizontalCentered="1"/>
  <pageMargins left="0.25" right="0.25" top="0.75" bottom="0.75" header="0.3" footer="0.3"/>
  <pageSetup paperSize="9" scale="10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S27"/>
  <sheetViews>
    <sheetView view="pageLayout" zoomScale="85" zoomScaleNormal="100" zoomScaleSheetLayoutView="100" zoomScalePageLayoutView="85" workbookViewId="0">
      <selection activeCell="A94" sqref="A94:W128"/>
    </sheetView>
  </sheetViews>
  <sheetFormatPr baseColWidth="10" defaultColWidth="11.42578125" defaultRowHeight="12" x14ac:dyDescent="0.2"/>
  <cols>
    <col min="1" max="6" width="18.7109375" style="162" customWidth="1"/>
    <col min="7" max="8" width="6.7109375" style="68" customWidth="1"/>
    <col min="9" max="9" width="6.7109375" style="162" customWidth="1"/>
    <col min="10" max="12" width="18.7109375" style="162" customWidth="1"/>
    <col min="13" max="13" width="18.28515625" style="162" customWidth="1"/>
    <col min="14" max="14" width="20.42578125" style="162" customWidth="1"/>
    <col min="15" max="16384" width="11.42578125" style="162"/>
  </cols>
  <sheetData>
    <row r="1" spans="1:19" s="139" customFormat="1" x14ac:dyDescent="0.2">
      <c r="A1" s="164" t="s">
        <v>437</v>
      </c>
      <c r="B1" s="164"/>
      <c r="C1" s="164"/>
      <c r="D1" s="164"/>
      <c r="E1" s="164"/>
      <c r="F1" s="164"/>
      <c r="G1" s="164"/>
      <c r="H1" s="164"/>
      <c r="J1" s="164"/>
      <c r="K1" s="164"/>
      <c r="L1" s="164"/>
      <c r="M1" s="164"/>
      <c r="N1" s="164"/>
    </row>
    <row r="2" spans="1:19" s="5" customFormat="1" x14ac:dyDescent="0.2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2.75" thickBot="1" x14ac:dyDescent="0.25">
      <c r="A3" s="15" t="s">
        <v>477</v>
      </c>
    </row>
    <row r="4" spans="1:19" s="94" customFormat="1" ht="12.75" customHeight="1" thickBot="1" x14ac:dyDescent="0.25">
      <c r="A4" s="1534" t="s">
        <v>314</v>
      </c>
      <c r="B4" s="1536"/>
      <c r="C4" s="1535" t="s">
        <v>315</v>
      </c>
      <c r="D4" s="1535"/>
      <c r="E4" s="1537" t="s">
        <v>318</v>
      </c>
      <c r="F4" s="1538"/>
      <c r="G4" s="1538"/>
      <c r="H4" s="1538"/>
      <c r="I4" s="1540"/>
      <c r="J4" s="1535" t="s">
        <v>319</v>
      </c>
      <c r="K4" s="1535"/>
      <c r="L4" s="1536"/>
      <c r="M4" s="1467" t="s">
        <v>372</v>
      </c>
      <c r="N4" s="1551" t="s">
        <v>373</v>
      </c>
    </row>
    <row r="5" spans="1:19" s="96" customFormat="1" ht="86.25" customHeight="1" thickBot="1" x14ac:dyDescent="0.25">
      <c r="A5" s="266" t="s">
        <v>104</v>
      </c>
      <c r="B5" s="274" t="s">
        <v>105</v>
      </c>
      <c r="C5" s="267" t="s">
        <v>317</v>
      </c>
      <c r="D5" s="275" t="s">
        <v>316</v>
      </c>
      <c r="E5" s="266" t="s">
        <v>322</v>
      </c>
      <c r="F5" s="268" t="s">
        <v>323</v>
      </c>
      <c r="G5" s="276" t="s">
        <v>324</v>
      </c>
      <c r="H5" s="276" t="s">
        <v>325</v>
      </c>
      <c r="I5" s="277" t="s">
        <v>26</v>
      </c>
      <c r="J5" s="266" t="s">
        <v>320</v>
      </c>
      <c r="K5" s="267" t="s">
        <v>321</v>
      </c>
      <c r="L5" s="278" t="s">
        <v>326</v>
      </c>
      <c r="M5" s="1468"/>
      <c r="N5" s="1552"/>
    </row>
    <row r="6" spans="1:19" x14ac:dyDescent="0.2">
      <c r="A6" s="92"/>
      <c r="B6" s="840"/>
      <c r="C6" s="843"/>
      <c r="D6" s="844"/>
      <c r="E6" s="62"/>
      <c r="F6" s="25"/>
      <c r="G6" s="25"/>
      <c r="H6" s="25"/>
      <c r="I6" s="74"/>
      <c r="J6" s="62"/>
      <c r="K6" s="133"/>
      <c r="L6" s="17"/>
      <c r="M6" s="17"/>
      <c r="N6" s="17"/>
    </row>
    <row r="7" spans="1:19" x14ac:dyDescent="0.2">
      <c r="A7" s="62"/>
      <c r="B7" s="9"/>
      <c r="C7" s="62"/>
      <c r="D7" s="74"/>
      <c r="E7" s="62"/>
      <c r="F7" s="25"/>
      <c r="G7" s="25"/>
      <c r="H7" s="25"/>
      <c r="I7" s="74"/>
      <c r="J7" s="62"/>
      <c r="K7" s="12"/>
      <c r="L7" s="17"/>
      <c r="M7" s="17"/>
      <c r="N7" s="17"/>
    </row>
    <row r="8" spans="1:19" x14ac:dyDescent="0.2">
      <c r="A8" s="62"/>
      <c r="B8" s="9"/>
      <c r="C8" s="62"/>
      <c r="D8" s="74"/>
      <c r="E8" s="62"/>
      <c r="F8" s="77"/>
      <c r="G8" s="77"/>
      <c r="H8" s="77"/>
      <c r="I8" s="125"/>
      <c r="J8" s="126"/>
      <c r="K8" s="12"/>
      <c r="L8" s="17"/>
      <c r="M8" s="17"/>
      <c r="N8" s="17"/>
    </row>
    <row r="9" spans="1:19" x14ac:dyDescent="0.2">
      <c r="A9" s="62"/>
      <c r="B9" s="9"/>
      <c r="C9" s="62"/>
      <c r="D9" s="74"/>
      <c r="E9" s="62"/>
      <c r="F9" s="25"/>
      <c r="G9" s="25"/>
      <c r="H9" s="25"/>
      <c r="I9" s="74"/>
      <c r="J9" s="62"/>
      <c r="K9" s="12"/>
      <c r="L9" s="17"/>
      <c r="M9" s="17"/>
      <c r="N9" s="17"/>
    </row>
    <row r="10" spans="1:19" x14ac:dyDescent="0.2">
      <c r="A10" s="62"/>
      <c r="B10" s="9"/>
      <c r="C10" s="126"/>
      <c r="D10" s="125"/>
      <c r="E10" s="126"/>
      <c r="F10" s="25"/>
      <c r="G10" s="25"/>
      <c r="H10" s="25"/>
      <c r="I10" s="74"/>
      <c r="J10" s="62"/>
      <c r="K10" s="76"/>
      <c r="L10" s="78"/>
      <c r="M10" s="78"/>
      <c r="N10" s="78"/>
    </row>
    <row r="11" spans="1:19" x14ac:dyDescent="0.2">
      <c r="A11" s="62"/>
      <c r="B11" s="9"/>
      <c r="C11" s="62"/>
      <c r="D11" s="74"/>
      <c r="E11" s="62"/>
      <c r="F11" s="25"/>
      <c r="G11" s="25"/>
      <c r="H11" s="25"/>
      <c r="I11" s="74"/>
      <c r="J11" s="62"/>
      <c r="K11" s="12"/>
      <c r="L11" s="17"/>
      <c r="M11" s="17"/>
      <c r="N11" s="17"/>
    </row>
    <row r="12" spans="1:19" ht="36" x14ac:dyDescent="0.2">
      <c r="A12" s="62" t="s">
        <v>1631</v>
      </c>
      <c r="B12" s="841" t="s">
        <v>1636</v>
      </c>
      <c r="C12" s="62" t="s">
        <v>1632</v>
      </c>
      <c r="D12" s="74">
        <v>20519485649</v>
      </c>
      <c r="E12" s="62" t="s">
        <v>1633</v>
      </c>
      <c r="F12" s="25"/>
      <c r="G12" s="25">
        <v>500</v>
      </c>
      <c r="H12" s="25"/>
      <c r="I12" s="74"/>
      <c r="J12" s="62" t="s">
        <v>1634</v>
      </c>
      <c r="K12" s="698">
        <v>25000</v>
      </c>
      <c r="L12" s="17" t="s">
        <v>1635</v>
      </c>
      <c r="M12" s="17"/>
      <c r="N12" s="699">
        <v>100550</v>
      </c>
    </row>
    <row r="13" spans="1:19" x14ac:dyDescent="0.2">
      <c r="A13" s="62"/>
      <c r="B13" s="9"/>
      <c r="C13" s="62"/>
      <c r="D13" s="74"/>
      <c r="E13" s="62"/>
      <c r="F13" s="25"/>
      <c r="G13" s="25"/>
      <c r="H13" s="25"/>
      <c r="I13" s="74"/>
      <c r="J13" s="62"/>
      <c r="K13" s="698"/>
      <c r="L13" s="17"/>
      <c r="M13" s="17"/>
      <c r="N13" s="699"/>
    </row>
    <row r="14" spans="1:19" ht="24" x14ac:dyDescent="0.2">
      <c r="A14" s="4" t="s">
        <v>1631</v>
      </c>
      <c r="B14" s="839" t="s">
        <v>2269</v>
      </c>
      <c r="C14" s="845" t="s">
        <v>2260</v>
      </c>
      <c r="D14" s="846">
        <v>71336087</v>
      </c>
      <c r="E14" s="62"/>
      <c r="F14" s="25"/>
      <c r="G14" s="25"/>
      <c r="H14" s="25"/>
      <c r="I14" s="74"/>
      <c r="J14" s="836">
        <v>44347</v>
      </c>
      <c r="K14" s="837">
        <v>10900</v>
      </c>
      <c r="L14" s="695" t="s">
        <v>1635</v>
      </c>
      <c r="M14" s="687">
        <v>130800</v>
      </c>
      <c r="N14" s="687">
        <v>65400</v>
      </c>
    </row>
    <row r="15" spans="1:19" ht="24" x14ac:dyDescent="0.2">
      <c r="A15" s="4" t="s">
        <v>1631</v>
      </c>
      <c r="B15" s="839" t="s">
        <v>2269</v>
      </c>
      <c r="C15" s="847" t="s">
        <v>2261</v>
      </c>
      <c r="D15" s="848">
        <v>25645221</v>
      </c>
      <c r="E15" s="62"/>
      <c r="F15" s="25"/>
      <c r="G15" s="25"/>
      <c r="H15" s="25"/>
      <c r="I15" s="74"/>
      <c r="J15" s="836">
        <v>44196</v>
      </c>
      <c r="K15" s="838">
        <v>7900</v>
      </c>
      <c r="L15" s="695" t="s">
        <v>1635</v>
      </c>
      <c r="M15" s="687">
        <v>94800</v>
      </c>
      <c r="N15" s="687">
        <v>47400</v>
      </c>
    </row>
    <row r="16" spans="1:19" ht="24" x14ac:dyDescent="0.2">
      <c r="A16" s="4" t="s">
        <v>1631</v>
      </c>
      <c r="B16" s="839" t="s">
        <v>2269</v>
      </c>
      <c r="C16" s="847" t="s">
        <v>2262</v>
      </c>
      <c r="D16" s="849" t="s">
        <v>2263</v>
      </c>
      <c r="E16" s="62"/>
      <c r="F16" s="25"/>
      <c r="G16" s="25"/>
      <c r="H16" s="25"/>
      <c r="I16" s="74"/>
      <c r="J16" s="836">
        <v>43982</v>
      </c>
      <c r="K16" s="838">
        <v>16400</v>
      </c>
      <c r="L16" s="695" t="s">
        <v>1635</v>
      </c>
      <c r="M16" s="687">
        <v>196800</v>
      </c>
      <c r="N16" s="687">
        <v>98400</v>
      </c>
    </row>
    <row r="17" spans="1:14" ht="24" x14ac:dyDescent="0.2">
      <c r="A17" s="4" t="s">
        <v>1631</v>
      </c>
      <c r="B17" s="839" t="s">
        <v>2269</v>
      </c>
      <c r="C17" s="847" t="s">
        <v>2264</v>
      </c>
      <c r="D17" s="848">
        <v>25634183</v>
      </c>
      <c r="E17" s="62"/>
      <c r="F17" s="25"/>
      <c r="G17" s="25"/>
      <c r="H17" s="25"/>
      <c r="I17" s="74"/>
      <c r="J17" s="836">
        <v>44043</v>
      </c>
      <c r="K17" s="838">
        <v>4900</v>
      </c>
      <c r="L17" s="695" t="s">
        <v>1635</v>
      </c>
      <c r="M17" s="687">
        <v>58800</v>
      </c>
      <c r="N17" s="687">
        <v>29400</v>
      </c>
    </row>
    <row r="18" spans="1:14" ht="24" x14ac:dyDescent="0.2">
      <c r="A18" s="4" t="s">
        <v>1631</v>
      </c>
      <c r="B18" s="839" t="s">
        <v>2269</v>
      </c>
      <c r="C18" s="847" t="s">
        <v>2265</v>
      </c>
      <c r="D18" s="848">
        <v>25633111</v>
      </c>
      <c r="E18" s="62"/>
      <c r="F18" s="25"/>
      <c r="G18" s="25"/>
      <c r="H18" s="25"/>
      <c r="I18" s="74"/>
      <c r="J18" s="836">
        <v>44043</v>
      </c>
      <c r="K18" s="838">
        <v>4650</v>
      </c>
      <c r="L18" s="695" t="s">
        <v>1635</v>
      </c>
      <c r="M18" s="687">
        <v>55800</v>
      </c>
      <c r="N18" s="687">
        <v>27900</v>
      </c>
    </row>
    <row r="19" spans="1:14" ht="24" x14ac:dyDescent="0.2">
      <c r="A19" s="4" t="s">
        <v>1631</v>
      </c>
      <c r="B19" s="839" t="s">
        <v>2269</v>
      </c>
      <c r="C19" s="847" t="s">
        <v>2266</v>
      </c>
      <c r="D19" s="848">
        <v>20603322546</v>
      </c>
      <c r="E19" s="62"/>
      <c r="F19" s="25"/>
      <c r="G19" s="25"/>
      <c r="H19" s="25"/>
      <c r="I19" s="74"/>
      <c r="J19" s="836">
        <v>44196</v>
      </c>
      <c r="K19" s="838">
        <v>4800</v>
      </c>
      <c r="L19" s="695" t="s">
        <v>1635</v>
      </c>
      <c r="M19" s="687">
        <v>57600</v>
      </c>
      <c r="N19" s="687">
        <v>28800</v>
      </c>
    </row>
    <row r="20" spans="1:14" ht="24" x14ac:dyDescent="0.2">
      <c r="A20" s="4" t="s">
        <v>1631</v>
      </c>
      <c r="B20" s="839" t="s">
        <v>2269</v>
      </c>
      <c r="C20" s="847" t="s">
        <v>2267</v>
      </c>
      <c r="D20" s="848">
        <v>20600718704</v>
      </c>
      <c r="E20" s="62"/>
      <c r="F20" s="25"/>
      <c r="G20" s="25"/>
      <c r="H20" s="25"/>
      <c r="I20" s="74"/>
      <c r="J20" s="836">
        <v>44196</v>
      </c>
      <c r="K20" s="838">
        <v>31500</v>
      </c>
      <c r="L20" s="695" t="s">
        <v>1635</v>
      </c>
      <c r="M20" s="687">
        <v>378000</v>
      </c>
      <c r="N20" s="687">
        <v>189000</v>
      </c>
    </row>
    <row r="21" spans="1:14" ht="24" x14ac:dyDescent="0.2">
      <c r="A21" s="4" t="s">
        <v>1631</v>
      </c>
      <c r="B21" s="839" t="s">
        <v>2269</v>
      </c>
      <c r="C21" s="847" t="s">
        <v>2268</v>
      </c>
      <c r="D21" s="848">
        <v>20601547407</v>
      </c>
      <c r="E21" s="62"/>
      <c r="F21" s="25"/>
      <c r="G21" s="25"/>
      <c r="H21" s="25"/>
      <c r="I21" s="74"/>
      <c r="J21" s="836">
        <v>44196</v>
      </c>
      <c r="K21" s="838">
        <v>2220</v>
      </c>
      <c r="L21" s="695" t="s">
        <v>1635</v>
      </c>
      <c r="M21" s="687">
        <v>26640</v>
      </c>
      <c r="N21" s="687">
        <v>13320</v>
      </c>
    </row>
    <row r="22" spans="1:14" x14ac:dyDescent="0.2">
      <c r="A22" s="62"/>
      <c r="B22" s="9"/>
      <c r="C22" s="62"/>
      <c r="D22" s="74"/>
      <c r="E22" s="62"/>
      <c r="F22" s="77"/>
      <c r="G22" s="77"/>
      <c r="H22" s="77"/>
      <c r="I22" s="125"/>
      <c r="J22" s="126"/>
      <c r="K22" s="12"/>
      <c r="L22" s="17"/>
      <c r="M22" s="17"/>
      <c r="N22" s="17"/>
    </row>
    <row r="23" spans="1:14" ht="24" x14ac:dyDescent="0.2">
      <c r="A23" s="4" t="s">
        <v>1631</v>
      </c>
      <c r="B23" s="1123" t="s">
        <v>2830</v>
      </c>
      <c r="C23" s="1124" t="s">
        <v>2826</v>
      </c>
      <c r="D23" s="1125">
        <v>25724879</v>
      </c>
      <c r="E23" s="1116" t="s">
        <v>1633</v>
      </c>
      <c r="F23" s="1117"/>
      <c r="G23" s="1117">
        <v>90</v>
      </c>
      <c r="H23" s="1117" t="s">
        <v>2827</v>
      </c>
      <c r="I23" s="1118" t="s">
        <v>2827</v>
      </c>
      <c r="J23" s="1119" t="s">
        <v>2828</v>
      </c>
      <c r="K23" s="1120">
        <v>2360</v>
      </c>
      <c r="L23" s="1121" t="s">
        <v>2829</v>
      </c>
      <c r="M23" s="1121">
        <v>0</v>
      </c>
      <c r="N23" s="1122">
        <v>25960</v>
      </c>
    </row>
    <row r="24" spans="1:14" x14ac:dyDescent="0.2">
      <c r="A24" s="62"/>
      <c r="B24" s="9"/>
      <c r="C24" s="62"/>
      <c r="D24" s="74"/>
      <c r="E24" s="62"/>
      <c r="F24" s="25"/>
      <c r="G24" s="25"/>
      <c r="H24" s="25"/>
      <c r="I24" s="74"/>
      <c r="J24" s="62"/>
      <c r="K24" s="12"/>
      <c r="L24" s="17"/>
      <c r="M24" s="17"/>
      <c r="N24" s="17"/>
    </row>
    <row r="25" spans="1:14" ht="12.75" thickBot="1" x14ac:dyDescent="0.25">
      <c r="A25" s="65"/>
      <c r="B25" s="842"/>
      <c r="C25" s="65"/>
      <c r="D25" s="850"/>
      <c r="E25" s="62"/>
      <c r="F25" s="25"/>
      <c r="G25" s="25"/>
      <c r="H25" s="25"/>
      <c r="I25" s="74"/>
      <c r="J25" s="62"/>
      <c r="K25" s="12"/>
      <c r="L25" s="17"/>
      <c r="M25" s="17"/>
      <c r="N25" s="17"/>
    </row>
    <row r="26" spans="1:14" ht="12.75" thickBot="1" x14ac:dyDescent="0.25">
      <c r="A26" s="93"/>
      <c r="B26" s="206"/>
      <c r="C26" s="69"/>
      <c r="D26" s="208"/>
      <c r="E26" s="209"/>
      <c r="F26" s="67"/>
      <c r="G26" s="67"/>
      <c r="H26" s="67"/>
      <c r="I26" s="207"/>
      <c r="J26" s="18"/>
      <c r="K26" s="69"/>
      <c r="L26" s="19"/>
      <c r="M26" s="19"/>
      <c r="N26" s="19"/>
    </row>
    <row r="27" spans="1:14" x14ac:dyDescent="0.2">
      <c r="A27" s="162" t="s">
        <v>438</v>
      </c>
    </row>
  </sheetData>
  <mergeCells count="6">
    <mergeCell ref="M4:M5"/>
    <mergeCell ref="N4:N5"/>
    <mergeCell ref="C4:D4"/>
    <mergeCell ref="A4:B4"/>
    <mergeCell ref="J4:L4"/>
    <mergeCell ref="E4:I4"/>
  </mergeCells>
  <printOptions horizontalCentered="1"/>
  <pageMargins left="0.25" right="0.25" top="0.75" bottom="0.75" header="0.3" footer="0.3"/>
  <pageSetup paperSize="9" scale="64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N31"/>
  <sheetViews>
    <sheetView tabSelected="1" view="pageLayout" topLeftCell="A2" zoomScaleNormal="100" zoomScaleSheetLayoutView="100" workbookViewId="0">
      <selection activeCell="A2" sqref="A2"/>
    </sheetView>
  </sheetViews>
  <sheetFormatPr baseColWidth="10" defaultColWidth="2" defaultRowHeight="11.25" x14ac:dyDescent="0.2"/>
  <cols>
    <col min="1" max="1" width="16.42578125" style="98" customWidth="1"/>
    <col min="2" max="2" width="9.5703125" style="98" customWidth="1"/>
    <col min="3" max="3" width="22" style="98" customWidth="1"/>
    <col min="4" max="4" width="10.7109375" style="98" customWidth="1"/>
    <col min="5" max="5" width="8.140625" style="98" customWidth="1"/>
    <col min="6" max="6" width="8" style="98" customWidth="1"/>
    <col min="7" max="7" width="9" style="98" customWidth="1"/>
    <col min="8" max="8" width="11" style="98" customWidth="1"/>
    <col min="9" max="9" width="7.140625" style="98" customWidth="1"/>
    <col min="10" max="10" width="8.5703125" style="98" customWidth="1"/>
    <col min="11" max="11" width="7.7109375" style="98" customWidth="1"/>
    <col min="12" max="12" width="9.7109375" style="98" customWidth="1"/>
    <col min="13" max="14" width="7" style="98" customWidth="1"/>
    <col min="15" max="15" width="8.7109375" style="98" customWidth="1"/>
    <col min="16" max="16384" width="2" style="98"/>
  </cols>
  <sheetData>
    <row r="1" spans="1:14" s="172" customFormat="1" ht="12.75" x14ac:dyDescent="0.2">
      <c r="A1" s="171" t="s">
        <v>346</v>
      </c>
      <c r="B1" s="214"/>
      <c r="C1" s="171"/>
    </row>
    <row r="2" spans="1:14" s="172" customFormat="1" x14ac:dyDescent="0.2">
      <c r="A2" s="173" t="s">
        <v>460</v>
      </c>
      <c r="B2" s="173"/>
      <c r="C2" s="173"/>
    </row>
    <row r="3" spans="1:14" s="97" customFormat="1" ht="22.5" customHeight="1" x14ac:dyDescent="0.2">
      <c r="A3" s="1430" t="s">
        <v>299</v>
      </c>
      <c r="B3" s="1430" t="s">
        <v>1306</v>
      </c>
      <c r="C3" s="1430" t="s">
        <v>1307</v>
      </c>
      <c r="D3" s="1430" t="s">
        <v>300</v>
      </c>
      <c r="E3" s="1431" t="s">
        <v>1308</v>
      </c>
      <c r="F3" s="1432"/>
      <c r="G3" s="1430" t="s">
        <v>141</v>
      </c>
      <c r="H3" s="1430" t="s">
        <v>280</v>
      </c>
      <c r="I3" s="1429">
        <v>2019</v>
      </c>
      <c r="J3" s="1429"/>
      <c r="K3" s="1429">
        <v>2020</v>
      </c>
      <c r="L3" s="1429"/>
      <c r="M3" s="1419">
        <v>2021</v>
      </c>
      <c r="N3" s="1419">
        <v>2022</v>
      </c>
    </row>
    <row r="4" spans="1:14" s="97" customFormat="1" ht="12.75" x14ac:dyDescent="0.2">
      <c r="A4" s="1430"/>
      <c r="B4" s="1430"/>
      <c r="C4" s="1430"/>
      <c r="D4" s="1430"/>
      <c r="E4" s="1420" t="s">
        <v>1309</v>
      </c>
      <c r="F4" s="1420" t="s">
        <v>1310</v>
      </c>
      <c r="G4" s="1430"/>
      <c r="H4" s="1430"/>
      <c r="I4" s="1419" t="s">
        <v>1311</v>
      </c>
      <c r="J4" s="1419" t="s">
        <v>281</v>
      </c>
      <c r="K4" s="1419" t="s">
        <v>1311</v>
      </c>
      <c r="L4" s="1419" t="s">
        <v>282</v>
      </c>
      <c r="M4" s="1419" t="s">
        <v>283</v>
      </c>
      <c r="N4" s="1419" t="s">
        <v>283</v>
      </c>
    </row>
    <row r="5" spans="1:14" s="1418" customFormat="1" ht="331.5" x14ac:dyDescent="0.2">
      <c r="A5" s="1424" t="s">
        <v>1312</v>
      </c>
      <c r="B5" s="514" t="s">
        <v>1313</v>
      </c>
      <c r="C5" s="1425" t="s">
        <v>1314</v>
      </c>
      <c r="D5" s="516" t="s">
        <v>1315</v>
      </c>
      <c r="E5" s="517">
        <v>0.44800000000000001</v>
      </c>
      <c r="F5" s="514">
        <v>2012</v>
      </c>
      <c r="G5" s="518" t="s">
        <v>1316</v>
      </c>
      <c r="H5" s="1427" t="s">
        <v>1317</v>
      </c>
      <c r="I5" s="517">
        <v>0.76500000000000001</v>
      </c>
      <c r="J5" s="517" t="s">
        <v>1318</v>
      </c>
      <c r="K5" s="517">
        <v>0.80900000000000005</v>
      </c>
      <c r="L5" s="517">
        <v>0.80900000000000005</v>
      </c>
      <c r="M5" s="517">
        <v>0.85399999999999998</v>
      </c>
      <c r="N5" s="517">
        <v>0.89900000000000002</v>
      </c>
    </row>
    <row r="6" spans="1:14" s="1418" customFormat="1" ht="331.5" x14ac:dyDescent="0.2">
      <c r="A6" s="1424"/>
      <c r="B6" s="514" t="s">
        <v>1313</v>
      </c>
      <c r="C6" s="1426"/>
      <c r="D6" s="516" t="s">
        <v>1319</v>
      </c>
      <c r="E6" s="517">
        <v>0.18</v>
      </c>
      <c r="F6" s="514">
        <v>2012</v>
      </c>
      <c r="G6" s="518" t="s">
        <v>1316</v>
      </c>
      <c r="H6" s="1428"/>
      <c r="I6" s="517">
        <v>0.48899999999999999</v>
      </c>
      <c r="J6" s="517" t="s">
        <v>1318</v>
      </c>
      <c r="K6" s="517">
        <v>0.52600000000000002</v>
      </c>
      <c r="L6" s="517">
        <v>0.52600000000000002</v>
      </c>
      <c r="M6" s="517">
        <v>0.56399999999999995</v>
      </c>
      <c r="N6" s="517">
        <v>0.60099999999999998</v>
      </c>
    </row>
    <row r="7" spans="1:14" s="176" customFormat="1" ht="204" x14ac:dyDescent="0.2">
      <c r="A7" s="1424"/>
      <c r="B7" s="514" t="s">
        <v>1313</v>
      </c>
      <c r="C7" s="516" t="s">
        <v>1320</v>
      </c>
      <c r="D7" s="516" t="s">
        <v>1321</v>
      </c>
      <c r="E7" s="517">
        <v>0.46899999999999997</v>
      </c>
      <c r="F7" s="514">
        <v>2015</v>
      </c>
      <c r="G7" s="518" t="s">
        <v>1322</v>
      </c>
      <c r="H7" s="515" t="s">
        <v>1323</v>
      </c>
      <c r="I7" s="517">
        <v>0.48</v>
      </c>
      <c r="J7" s="517">
        <v>0.32840000000000003</v>
      </c>
      <c r="K7" s="517">
        <v>0.49</v>
      </c>
      <c r="L7" s="517">
        <v>0.49</v>
      </c>
      <c r="M7" s="517">
        <v>0.5</v>
      </c>
      <c r="N7" s="517">
        <v>0.51</v>
      </c>
    </row>
    <row r="8" spans="1:14" s="176" customFormat="1" ht="267.75" x14ac:dyDescent="0.2">
      <c r="A8" s="1424"/>
      <c r="B8" s="514" t="s">
        <v>1324</v>
      </c>
      <c r="C8" s="516" t="s">
        <v>1325</v>
      </c>
      <c r="D8" s="516" t="s">
        <v>1326</v>
      </c>
      <c r="E8" s="517">
        <v>0.65800000000000003</v>
      </c>
      <c r="F8" s="514">
        <v>2013</v>
      </c>
      <c r="G8" s="518" t="s">
        <v>1327</v>
      </c>
      <c r="H8" s="515" t="s">
        <v>1328</v>
      </c>
      <c r="I8" s="517">
        <v>0.69099999999999995</v>
      </c>
      <c r="J8" s="517">
        <v>0.66349999999999998</v>
      </c>
      <c r="K8" s="517">
        <v>0.7</v>
      </c>
      <c r="L8" s="517">
        <v>0.7</v>
      </c>
      <c r="M8" s="517">
        <v>0.70899999999999996</v>
      </c>
      <c r="N8" s="517">
        <v>0.72599999999999998</v>
      </c>
    </row>
    <row r="9" spans="1:14" s="176" customFormat="1" ht="409.5" x14ac:dyDescent="0.2">
      <c r="A9" s="1424"/>
      <c r="B9" s="514" t="s">
        <v>1329</v>
      </c>
      <c r="C9" s="516" t="s">
        <v>1330</v>
      </c>
      <c r="D9" s="516" t="s">
        <v>1331</v>
      </c>
      <c r="E9" s="517">
        <v>6.8000000000000005E-2</v>
      </c>
      <c r="F9" s="514">
        <v>2017</v>
      </c>
      <c r="G9" s="518" t="s">
        <v>1332</v>
      </c>
      <c r="H9" s="515" t="s">
        <v>1333</v>
      </c>
      <c r="I9" s="517">
        <v>0.12</v>
      </c>
      <c r="J9" s="517">
        <v>7.2300000000000003E-2</v>
      </c>
      <c r="K9" s="517">
        <v>0.15</v>
      </c>
      <c r="L9" s="517">
        <v>0.15</v>
      </c>
      <c r="M9" s="517">
        <v>0.18</v>
      </c>
      <c r="N9" s="517">
        <v>0.21</v>
      </c>
    </row>
    <row r="10" spans="1:14" s="176" customFormat="1" ht="127.5" x14ac:dyDescent="0.2">
      <c r="A10" s="1424"/>
      <c r="B10" s="514" t="s">
        <v>1334</v>
      </c>
      <c r="C10" s="518" t="s">
        <v>1335</v>
      </c>
      <c r="D10" s="516" t="s">
        <v>1336</v>
      </c>
      <c r="E10" s="514">
        <v>59.3</v>
      </c>
      <c r="F10" s="514">
        <v>2016</v>
      </c>
      <c r="G10" s="518" t="s">
        <v>1337</v>
      </c>
      <c r="H10" s="515" t="s">
        <v>1338</v>
      </c>
      <c r="I10" s="519">
        <v>64</v>
      </c>
      <c r="J10" s="519">
        <v>58.17</v>
      </c>
      <c r="K10" s="519">
        <v>65</v>
      </c>
      <c r="L10" s="519">
        <v>65</v>
      </c>
      <c r="M10" s="519">
        <v>66</v>
      </c>
      <c r="N10" s="519">
        <v>68</v>
      </c>
    </row>
    <row r="11" spans="1:14" s="176" customFormat="1" ht="229.5" x14ac:dyDescent="0.2">
      <c r="A11" s="1424"/>
      <c r="B11" s="514" t="s">
        <v>1339</v>
      </c>
      <c r="C11" s="516" t="s">
        <v>1340</v>
      </c>
      <c r="D11" s="516" t="s">
        <v>1341</v>
      </c>
      <c r="E11" s="517">
        <v>0.5</v>
      </c>
      <c r="F11" s="514">
        <v>2011</v>
      </c>
      <c r="G11" s="518" t="s">
        <v>1342</v>
      </c>
      <c r="H11" s="515" t="s">
        <v>1343</v>
      </c>
      <c r="I11" s="517">
        <v>0.7</v>
      </c>
      <c r="J11" s="517">
        <v>1</v>
      </c>
      <c r="K11" s="517">
        <v>0.85</v>
      </c>
      <c r="L11" s="517">
        <v>0.85</v>
      </c>
      <c r="M11" s="517">
        <v>0.9</v>
      </c>
      <c r="N11" s="517">
        <v>0.98</v>
      </c>
    </row>
    <row r="12" spans="1:14" s="176" customFormat="1" ht="127.5" x14ac:dyDescent="0.2">
      <c r="A12" s="1424"/>
      <c r="B12" s="514" t="s">
        <v>1344</v>
      </c>
      <c r="C12" s="516" t="s">
        <v>1345</v>
      </c>
      <c r="D12" s="516" t="s">
        <v>1346</v>
      </c>
      <c r="E12" s="514">
        <v>51.9</v>
      </c>
      <c r="F12" s="514">
        <v>2016</v>
      </c>
      <c r="G12" s="518" t="s">
        <v>1337</v>
      </c>
      <c r="H12" s="515" t="s">
        <v>1347</v>
      </c>
      <c r="I12" s="519">
        <v>52.5</v>
      </c>
      <c r="J12" s="519">
        <v>43.8</v>
      </c>
      <c r="K12" s="519">
        <v>52.7</v>
      </c>
      <c r="L12" s="519">
        <v>52.7</v>
      </c>
      <c r="M12" s="519">
        <v>53</v>
      </c>
      <c r="N12" s="519">
        <v>53.2</v>
      </c>
    </row>
    <row r="13" spans="1:14" s="176" customFormat="1" ht="153" x14ac:dyDescent="0.2">
      <c r="A13" s="1424"/>
      <c r="B13" s="514" t="s">
        <v>1348</v>
      </c>
      <c r="C13" s="516" t="s">
        <v>1349</v>
      </c>
      <c r="D13" s="516" t="s">
        <v>1350</v>
      </c>
      <c r="E13" s="514" t="s">
        <v>1351</v>
      </c>
      <c r="F13" s="211"/>
      <c r="G13" s="518" t="s">
        <v>1352</v>
      </c>
      <c r="H13" s="514" t="s">
        <v>1353</v>
      </c>
      <c r="I13" s="517">
        <v>0.57599999999999996</v>
      </c>
      <c r="J13" s="517">
        <v>0.86209999999999998</v>
      </c>
      <c r="K13" s="517">
        <v>0.86399999999999999</v>
      </c>
      <c r="L13" s="517">
        <v>0.86399999999999999</v>
      </c>
      <c r="M13" s="517">
        <v>1</v>
      </c>
      <c r="N13" s="517">
        <v>1</v>
      </c>
    </row>
    <row r="14" spans="1:14" s="176" customFormat="1" x14ac:dyDescent="0.2">
      <c r="A14" s="174"/>
      <c r="B14" s="174"/>
      <c r="C14" s="174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s="176" customFormat="1" x14ac:dyDescent="0.2">
      <c r="A15" s="174"/>
      <c r="B15" s="174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s="176" customFormat="1" ht="12" thickBot="1" x14ac:dyDescent="0.25">
      <c r="A16" s="177"/>
      <c r="B16" s="177"/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</row>
    <row r="17" spans="1:14" s="176" customFormat="1" x14ac:dyDescent="0.2">
      <c r="A17" s="1417"/>
      <c r="B17" s="1417"/>
      <c r="C17" s="1417"/>
      <c r="D17" s="1417"/>
      <c r="E17" s="1417"/>
      <c r="F17" s="1417"/>
      <c r="G17" s="1417"/>
      <c r="H17" s="1417"/>
      <c r="I17" s="1417"/>
      <c r="J17" s="1417"/>
      <c r="K17" s="1417"/>
      <c r="L17" s="1417"/>
      <c r="M17" s="1417"/>
      <c r="N17" s="1417"/>
    </row>
    <row r="18" spans="1:14" s="176" customFormat="1" x14ac:dyDescent="0.2">
      <c r="A18" s="1417"/>
      <c r="B18" s="1417"/>
      <c r="C18" s="1417"/>
      <c r="D18" s="1417"/>
      <c r="E18" s="1417"/>
      <c r="F18" s="1417"/>
      <c r="G18" s="1417"/>
      <c r="H18" s="1417"/>
      <c r="I18" s="1417"/>
      <c r="J18" s="1417"/>
      <c r="K18" s="1417"/>
      <c r="L18" s="1417"/>
      <c r="M18" s="1417"/>
      <c r="N18" s="1417"/>
    </row>
    <row r="19" spans="1:14" s="176" customFormat="1" x14ac:dyDescent="0.2">
      <c r="A19" s="1417"/>
      <c r="B19" s="1417"/>
      <c r="C19" s="1417"/>
      <c r="D19" s="1417"/>
      <c r="E19" s="1417"/>
      <c r="F19" s="1417"/>
      <c r="G19" s="1417"/>
      <c r="H19" s="1417"/>
      <c r="I19" s="1417"/>
      <c r="J19" s="1417"/>
      <c r="K19" s="1417"/>
      <c r="L19" s="1417"/>
      <c r="M19" s="1417"/>
      <c r="N19" s="1417"/>
    </row>
    <row r="20" spans="1:14" s="176" customFormat="1" x14ac:dyDescent="0.2">
      <c r="A20" s="1417"/>
      <c r="B20" s="1417"/>
      <c r="C20" s="1417"/>
      <c r="D20" s="1417"/>
      <c r="E20" s="1417"/>
      <c r="F20" s="1417"/>
      <c r="G20" s="1417"/>
      <c r="H20" s="1417"/>
      <c r="I20" s="1417"/>
      <c r="J20" s="1417"/>
      <c r="K20" s="1417"/>
      <c r="L20" s="1417"/>
      <c r="M20" s="1417"/>
      <c r="N20" s="1417"/>
    </row>
    <row r="21" spans="1:14" s="176" customFormat="1" x14ac:dyDescent="0.2">
      <c r="A21" s="1417"/>
      <c r="B21" s="1417"/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</row>
    <row r="22" spans="1:14" s="176" customFormat="1" x14ac:dyDescent="0.2">
      <c r="A22" s="1417"/>
      <c r="B22" s="1417"/>
      <c r="C22" s="1417"/>
      <c r="D22" s="1417"/>
      <c r="E22" s="1417"/>
      <c r="F22" s="1417"/>
      <c r="G22" s="1417"/>
      <c r="H22" s="1417"/>
      <c r="I22" s="1417"/>
      <c r="J22" s="1417"/>
      <c r="K22" s="1417"/>
      <c r="L22" s="1417"/>
      <c r="M22" s="1417"/>
      <c r="N22" s="1417"/>
    </row>
    <row r="23" spans="1:14" x14ac:dyDescent="0.2">
      <c r="A23" s="1424" t="s">
        <v>1312</v>
      </c>
    </row>
    <row r="24" spans="1:14" x14ac:dyDescent="0.2">
      <c r="A24" s="1424"/>
    </row>
    <row r="25" spans="1:14" ht="204" x14ac:dyDescent="0.2">
      <c r="A25" s="1424"/>
      <c r="B25" s="514" t="s">
        <v>1313</v>
      </c>
      <c r="C25" s="516" t="s">
        <v>1320</v>
      </c>
      <c r="D25" s="516" t="s">
        <v>1321</v>
      </c>
      <c r="E25" s="517">
        <v>0.46899999999999997</v>
      </c>
      <c r="F25" s="514">
        <v>2015</v>
      </c>
      <c r="G25" s="518" t="s">
        <v>1322</v>
      </c>
      <c r="H25" s="515" t="s">
        <v>1323</v>
      </c>
      <c r="I25" s="517">
        <v>0.48</v>
      </c>
      <c r="J25" s="517">
        <v>0.32840000000000003</v>
      </c>
      <c r="K25" s="517">
        <v>0.49</v>
      </c>
      <c r="L25" s="517">
        <v>0.49</v>
      </c>
      <c r="M25" s="517">
        <v>0.5</v>
      </c>
      <c r="N25" s="517">
        <v>0.51</v>
      </c>
    </row>
    <row r="26" spans="1:14" ht="267.75" x14ac:dyDescent="0.2">
      <c r="A26" s="1424"/>
      <c r="B26" s="514" t="s">
        <v>1324</v>
      </c>
      <c r="C26" s="516" t="s">
        <v>1325</v>
      </c>
      <c r="D26" s="516" t="s">
        <v>1326</v>
      </c>
      <c r="E26" s="517">
        <v>0.65800000000000003</v>
      </c>
      <c r="F26" s="514">
        <v>2013</v>
      </c>
      <c r="G26" s="518" t="s">
        <v>1327</v>
      </c>
      <c r="H26" s="515" t="s">
        <v>1328</v>
      </c>
      <c r="I26" s="517">
        <v>0.69099999999999995</v>
      </c>
      <c r="J26" s="517">
        <v>0.66349999999999998</v>
      </c>
      <c r="K26" s="517">
        <v>0.7</v>
      </c>
      <c r="L26" s="517">
        <v>0.7</v>
      </c>
      <c r="M26" s="517">
        <v>0.70899999999999996</v>
      </c>
      <c r="N26" s="517">
        <v>0.72599999999999998</v>
      </c>
    </row>
    <row r="27" spans="1:14" ht="409.5" x14ac:dyDescent="0.2">
      <c r="A27" s="1424"/>
      <c r="B27" s="514" t="s">
        <v>1329</v>
      </c>
      <c r="C27" s="516" t="s">
        <v>1330</v>
      </c>
      <c r="D27" s="516" t="s">
        <v>1331</v>
      </c>
      <c r="E27" s="517">
        <v>6.8000000000000005E-2</v>
      </c>
      <c r="F27" s="514">
        <v>2017</v>
      </c>
      <c r="G27" s="518" t="s">
        <v>1332</v>
      </c>
      <c r="H27" s="515" t="s">
        <v>1333</v>
      </c>
      <c r="I27" s="517">
        <v>0.12</v>
      </c>
      <c r="J27" s="517">
        <v>7.2300000000000003E-2</v>
      </c>
      <c r="K27" s="517">
        <v>0.15</v>
      </c>
      <c r="L27" s="517">
        <v>0.15</v>
      </c>
      <c r="M27" s="517">
        <v>0.18</v>
      </c>
      <c r="N27" s="517">
        <v>0.21</v>
      </c>
    </row>
    <row r="28" spans="1:14" ht="127.5" x14ac:dyDescent="0.2">
      <c r="A28" s="1424"/>
      <c r="B28" s="514" t="s">
        <v>1334</v>
      </c>
      <c r="C28" s="518" t="s">
        <v>1335</v>
      </c>
      <c r="D28" s="516" t="s">
        <v>1336</v>
      </c>
      <c r="E28" s="514">
        <v>59.3</v>
      </c>
      <c r="F28" s="514">
        <v>2016</v>
      </c>
      <c r="G28" s="518" t="s">
        <v>1337</v>
      </c>
      <c r="H28" s="515" t="s">
        <v>1338</v>
      </c>
      <c r="I28" s="519">
        <v>64</v>
      </c>
      <c r="J28" s="519">
        <v>58.17</v>
      </c>
      <c r="K28" s="519">
        <v>65</v>
      </c>
      <c r="L28" s="519">
        <v>65</v>
      </c>
      <c r="M28" s="519">
        <v>66</v>
      </c>
      <c r="N28" s="519">
        <v>68</v>
      </c>
    </row>
    <row r="29" spans="1:14" ht="229.5" x14ac:dyDescent="0.2">
      <c r="A29" s="1424"/>
      <c r="B29" s="514" t="s">
        <v>1339</v>
      </c>
      <c r="C29" s="516" t="s">
        <v>1340</v>
      </c>
      <c r="D29" s="516" t="s">
        <v>1341</v>
      </c>
      <c r="E29" s="517">
        <v>0.5</v>
      </c>
      <c r="F29" s="514">
        <v>2011</v>
      </c>
      <c r="G29" s="518" t="s">
        <v>1342</v>
      </c>
      <c r="H29" s="515" t="s">
        <v>1343</v>
      </c>
      <c r="I29" s="517">
        <v>0.7</v>
      </c>
      <c r="J29" s="517">
        <v>1</v>
      </c>
      <c r="K29" s="517">
        <v>0.85</v>
      </c>
      <c r="L29" s="517">
        <v>0.85</v>
      </c>
      <c r="M29" s="517">
        <v>0.9</v>
      </c>
      <c r="N29" s="517">
        <v>0.98</v>
      </c>
    </row>
    <row r="30" spans="1:14" ht="127.5" x14ac:dyDescent="0.2">
      <c r="A30" s="1424"/>
      <c r="B30" s="514" t="s">
        <v>1344</v>
      </c>
      <c r="C30" s="516" t="s">
        <v>1345</v>
      </c>
      <c r="D30" s="516" t="s">
        <v>1346</v>
      </c>
      <c r="E30" s="514">
        <v>51.9</v>
      </c>
      <c r="F30" s="514">
        <v>2016</v>
      </c>
      <c r="G30" s="518" t="s">
        <v>1337</v>
      </c>
      <c r="H30" s="515" t="s">
        <v>1347</v>
      </c>
      <c r="I30" s="519">
        <v>52.5</v>
      </c>
      <c r="J30" s="519">
        <v>43.8</v>
      </c>
      <c r="K30" s="519">
        <v>52.7</v>
      </c>
      <c r="L30" s="519">
        <v>52.7</v>
      </c>
      <c r="M30" s="519">
        <v>53</v>
      </c>
      <c r="N30" s="519">
        <v>53.2</v>
      </c>
    </row>
    <row r="31" spans="1:14" ht="153" x14ac:dyDescent="0.2">
      <c r="A31" s="1424"/>
      <c r="B31" s="514" t="s">
        <v>1348</v>
      </c>
      <c r="C31" s="516" t="s">
        <v>1349</v>
      </c>
      <c r="D31" s="516" t="s">
        <v>1350</v>
      </c>
      <c r="E31" s="514" t="s">
        <v>1351</v>
      </c>
      <c r="F31" s="211"/>
      <c r="G31" s="518" t="s">
        <v>1352</v>
      </c>
      <c r="H31" s="514" t="s">
        <v>1353</v>
      </c>
      <c r="I31" s="517">
        <v>0.57599999999999996</v>
      </c>
      <c r="J31" s="517">
        <v>0.86209999999999998</v>
      </c>
      <c r="K31" s="517">
        <v>0.86399999999999999</v>
      </c>
      <c r="L31" s="517">
        <v>0.86399999999999999</v>
      </c>
      <c r="M31" s="517">
        <v>1</v>
      </c>
      <c r="N31" s="517">
        <v>1</v>
      </c>
    </row>
  </sheetData>
  <mergeCells count="13">
    <mergeCell ref="K3:L3"/>
    <mergeCell ref="C3:C4"/>
    <mergeCell ref="B3:B4"/>
    <mergeCell ref="A3:A4"/>
    <mergeCell ref="D3:D4"/>
    <mergeCell ref="G3:G4"/>
    <mergeCell ref="H3:H4"/>
    <mergeCell ref="E3:F3"/>
    <mergeCell ref="A23:A31"/>
    <mergeCell ref="C5:C6"/>
    <mergeCell ref="H5:H6"/>
    <mergeCell ref="A5:A13"/>
    <mergeCell ref="I3:J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E21"/>
  <sheetViews>
    <sheetView zoomScaleNormal="100" zoomScalePageLayoutView="184" workbookViewId="0">
      <selection activeCell="A2" sqref="A2"/>
    </sheetView>
  </sheetViews>
  <sheetFormatPr baseColWidth="10" defaultColWidth="11.28515625" defaultRowHeight="12.75" x14ac:dyDescent="0.2"/>
  <cols>
    <col min="1" max="1" width="42.140625" customWidth="1"/>
    <col min="2" max="4" width="15.5703125" customWidth="1"/>
  </cols>
  <sheetData>
    <row r="1" spans="1:5" ht="22.5" customHeight="1" x14ac:dyDescent="0.2">
      <c r="A1" s="1433" t="s">
        <v>399</v>
      </c>
      <c r="B1" s="1433"/>
      <c r="C1" s="1433"/>
      <c r="D1" s="1433"/>
      <c r="E1" s="307"/>
    </row>
    <row r="2" spans="1:5" x14ac:dyDescent="0.2">
      <c r="A2" s="173" t="s">
        <v>460</v>
      </c>
    </row>
    <row r="3" spans="1:5" s="210" customFormat="1" ht="28.35" customHeight="1" x14ac:dyDescent="0.2">
      <c r="A3" s="222" t="s">
        <v>333</v>
      </c>
      <c r="B3" s="223">
        <v>2019</v>
      </c>
      <c r="C3" s="223">
        <v>2020</v>
      </c>
      <c r="D3" s="223">
        <v>2021</v>
      </c>
    </row>
    <row r="4" spans="1:5" s="214" customFormat="1" x14ac:dyDescent="0.2">
      <c r="A4" s="213" t="s">
        <v>330</v>
      </c>
      <c r="B4" s="387">
        <v>140781273</v>
      </c>
      <c r="C4" s="387">
        <v>159345392</v>
      </c>
      <c r="D4" s="387">
        <v>128971449</v>
      </c>
    </row>
    <row r="5" spans="1:5" s="214" customFormat="1" x14ac:dyDescent="0.2">
      <c r="A5" s="213" t="s">
        <v>331</v>
      </c>
      <c r="B5" s="387">
        <v>391154752</v>
      </c>
      <c r="C5" s="387">
        <v>374048168</v>
      </c>
      <c r="D5" s="387">
        <v>380982548</v>
      </c>
    </row>
    <row r="6" spans="1:5" s="214" customFormat="1" x14ac:dyDescent="0.2">
      <c r="A6" s="213" t="s">
        <v>332</v>
      </c>
      <c r="B6" s="387">
        <v>486331045</v>
      </c>
      <c r="C6" s="387">
        <v>502524540</v>
      </c>
      <c r="D6" s="387">
        <v>531334082</v>
      </c>
    </row>
    <row r="7" spans="1:5" s="219" customFormat="1" ht="28.35" customHeight="1" x14ac:dyDescent="0.2">
      <c r="A7" s="220" t="s">
        <v>327</v>
      </c>
      <c r="B7" s="389">
        <v>1018267070</v>
      </c>
      <c r="C7" s="389">
        <v>1035918100</v>
      </c>
      <c r="D7" s="389">
        <f>SUM(D4:D6)</f>
        <v>1041288079</v>
      </c>
    </row>
    <row r="9" spans="1:5" s="210" customFormat="1" ht="28.35" customHeight="1" x14ac:dyDescent="0.2">
      <c r="A9" s="222" t="s">
        <v>334</v>
      </c>
      <c r="B9" s="223">
        <v>2019</v>
      </c>
      <c r="C9" s="223" t="s">
        <v>400</v>
      </c>
      <c r="D9" s="223" t="s">
        <v>401</v>
      </c>
    </row>
    <row r="10" spans="1:5" s="214" customFormat="1" x14ac:dyDescent="0.2">
      <c r="A10" s="213" t="s">
        <v>330</v>
      </c>
      <c r="B10" s="387">
        <v>163641903</v>
      </c>
      <c r="C10" s="387">
        <v>176897961</v>
      </c>
      <c r="D10" s="387">
        <v>128971449</v>
      </c>
    </row>
    <row r="11" spans="1:5" s="214" customFormat="1" x14ac:dyDescent="0.2">
      <c r="A11" s="213" t="s">
        <v>331</v>
      </c>
      <c r="B11" s="387">
        <v>522690359</v>
      </c>
      <c r="C11" s="387">
        <v>454008499</v>
      </c>
      <c r="D11" s="387">
        <v>380982548</v>
      </c>
    </row>
    <row r="12" spans="1:5" s="214" customFormat="1" x14ac:dyDescent="0.2">
      <c r="A12" s="213" t="s">
        <v>332</v>
      </c>
      <c r="B12" s="387">
        <v>571612776</v>
      </c>
      <c r="C12" s="387">
        <v>572733359</v>
      </c>
      <c r="D12" s="387">
        <v>531334082</v>
      </c>
    </row>
    <row r="13" spans="1:5" s="219" customFormat="1" ht="28.35" customHeight="1" x14ac:dyDescent="0.2">
      <c r="A13" s="220" t="s">
        <v>328</v>
      </c>
      <c r="B13" s="389">
        <v>1257945038</v>
      </c>
      <c r="C13" s="389">
        <v>1203639819</v>
      </c>
      <c r="D13" s="389">
        <f>SUM(D10:D12)</f>
        <v>1041288079</v>
      </c>
    </row>
    <row r="15" spans="1:5" s="210" customFormat="1" ht="28.35" customHeight="1" x14ac:dyDescent="0.2">
      <c r="A15" s="222" t="s">
        <v>335</v>
      </c>
      <c r="B15" s="223">
        <v>2019</v>
      </c>
      <c r="C15" s="223" t="s">
        <v>400</v>
      </c>
      <c r="D15" s="223" t="s">
        <v>401</v>
      </c>
    </row>
    <row r="16" spans="1:5" s="214" customFormat="1" x14ac:dyDescent="0.2">
      <c r="A16" s="213" t="s">
        <v>330</v>
      </c>
      <c r="B16" s="387">
        <v>132847764</v>
      </c>
      <c r="C16" s="387">
        <v>176897961</v>
      </c>
      <c r="D16" s="387">
        <v>128971449</v>
      </c>
    </row>
    <row r="17" spans="1:4" s="214" customFormat="1" x14ac:dyDescent="0.2">
      <c r="A17" s="213" t="s">
        <v>331</v>
      </c>
      <c r="B17" s="387">
        <v>317958000</v>
      </c>
      <c r="C17" s="387">
        <v>454008499</v>
      </c>
      <c r="D17" s="387">
        <v>380982548</v>
      </c>
    </row>
    <row r="18" spans="1:4" s="214" customFormat="1" x14ac:dyDescent="0.2">
      <c r="A18" s="213" t="s">
        <v>332</v>
      </c>
      <c r="B18" s="387">
        <v>501895805</v>
      </c>
      <c r="C18" s="387">
        <v>572733359</v>
      </c>
      <c r="D18" s="387">
        <v>531334082</v>
      </c>
    </row>
    <row r="19" spans="1:4" s="219" customFormat="1" ht="28.35" customHeight="1" x14ac:dyDescent="0.2">
      <c r="A19" s="220" t="s">
        <v>329</v>
      </c>
      <c r="B19" s="389">
        <v>952701569</v>
      </c>
      <c r="C19" s="389">
        <f>SUM(C16:C18)</f>
        <v>1203639819</v>
      </c>
      <c r="D19" s="389">
        <f>SUM(D16:D18)</f>
        <v>1041288079</v>
      </c>
    </row>
    <row r="20" spans="1:4" x14ac:dyDescent="0.2">
      <c r="A20" s="375" t="s">
        <v>402</v>
      </c>
    </row>
    <row r="21" spans="1:4" x14ac:dyDescent="0.2">
      <c r="A21" s="376" t="s">
        <v>403</v>
      </c>
    </row>
  </sheetData>
  <mergeCells count="1">
    <mergeCell ref="A1:D1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 xml:space="preserve">&amp;L&amp;"Arial,Negrita"&amp;14
&amp;C&amp;"Arial,Negrita"&amp;18PROYECTO DE PRESUPUESTO 2021&amp;R&amp;"Arial,Negrita"&amp;14 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282"/>
  <sheetViews>
    <sheetView view="pageLayout" zoomScaleNormal="100" workbookViewId="0">
      <selection activeCell="F9" sqref="F9"/>
    </sheetView>
  </sheetViews>
  <sheetFormatPr baseColWidth="10" defaultColWidth="11.28515625" defaultRowHeight="12.75" x14ac:dyDescent="0.2"/>
  <cols>
    <col min="1" max="1" width="52.140625" customWidth="1"/>
    <col min="2" max="4" width="11.28515625" customWidth="1"/>
  </cols>
  <sheetData>
    <row r="1" spans="1:4" x14ac:dyDescent="0.2">
      <c r="A1" s="171" t="s">
        <v>404</v>
      </c>
    </row>
    <row r="2" spans="1:4" x14ac:dyDescent="0.2">
      <c r="A2" s="173" t="s">
        <v>460</v>
      </c>
    </row>
    <row r="3" spans="1:4" s="210" customFormat="1" ht="37.5" customHeight="1" x14ac:dyDescent="0.2">
      <c r="A3" s="222" t="s">
        <v>461</v>
      </c>
      <c r="B3" s="223">
        <v>2019</v>
      </c>
      <c r="C3" s="223">
        <v>2020</v>
      </c>
      <c r="D3" s="223">
        <v>2021</v>
      </c>
    </row>
    <row r="4" spans="1:4" s="216" customFormat="1" x14ac:dyDescent="0.2">
      <c r="A4" s="215" t="s">
        <v>122</v>
      </c>
      <c r="B4" s="386">
        <f>SUM(B5:B10)</f>
        <v>657106227</v>
      </c>
      <c r="C4" s="386">
        <f t="shared" ref="C4:D4" si="0">SUM(C5:C10)</f>
        <v>676686191</v>
      </c>
      <c r="D4" s="386">
        <f t="shared" si="0"/>
        <v>709292869</v>
      </c>
    </row>
    <row r="5" spans="1:4" s="214" customFormat="1" x14ac:dyDescent="0.2">
      <c r="A5" s="212" t="s">
        <v>111</v>
      </c>
      <c r="B5" s="387"/>
      <c r="C5" s="387"/>
      <c r="D5" s="387"/>
    </row>
    <row r="6" spans="1:4" s="214" customFormat="1" x14ac:dyDescent="0.2">
      <c r="A6" s="212" t="s">
        <v>112</v>
      </c>
      <c r="B6" s="387">
        <v>460259696</v>
      </c>
      <c r="C6" s="387">
        <v>486229543</v>
      </c>
      <c r="D6" s="388">
        <v>528927100</v>
      </c>
    </row>
    <row r="7" spans="1:4" s="214" customFormat="1" x14ac:dyDescent="0.2">
      <c r="A7" s="212" t="s">
        <v>113</v>
      </c>
      <c r="B7" s="387">
        <v>68411489</v>
      </c>
      <c r="C7" s="387">
        <v>70234350</v>
      </c>
      <c r="D7" s="388">
        <v>64251002</v>
      </c>
    </row>
    <row r="8" spans="1:4" s="214" customFormat="1" x14ac:dyDescent="0.2">
      <c r="A8" s="212" t="s">
        <v>114</v>
      </c>
      <c r="B8" s="387">
        <v>128285092</v>
      </c>
      <c r="C8" s="387">
        <v>120222298</v>
      </c>
      <c r="D8" s="388">
        <v>115985586</v>
      </c>
    </row>
    <row r="9" spans="1:4" s="214" customFormat="1" x14ac:dyDescent="0.2">
      <c r="A9" s="212" t="s">
        <v>143</v>
      </c>
      <c r="B9" s="387"/>
      <c r="C9" s="387"/>
      <c r="D9" s="387"/>
    </row>
    <row r="10" spans="1:4" s="214" customFormat="1" x14ac:dyDescent="0.2">
      <c r="A10" s="212" t="s">
        <v>144</v>
      </c>
      <c r="B10" s="387">
        <v>149950</v>
      </c>
      <c r="C10" s="387"/>
      <c r="D10" s="388">
        <v>129181</v>
      </c>
    </row>
    <row r="11" spans="1:4" s="214" customFormat="1" x14ac:dyDescent="0.2">
      <c r="A11" s="215" t="s">
        <v>110</v>
      </c>
      <c r="B11" s="386">
        <f>SUM(B12:B15)</f>
        <v>37006335</v>
      </c>
      <c r="C11" s="386">
        <f t="shared" ref="C11:D11" si="1">SUM(C12:C15)</f>
        <v>18838964</v>
      </c>
      <c r="D11" s="386">
        <f t="shared" si="1"/>
        <v>1298097</v>
      </c>
    </row>
    <row r="12" spans="1:4" s="214" customFormat="1" x14ac:dyDescent="0.2">
      <c r="A12" s="212" t="s">
        <v>142</v>
      </c>
      <c r="B12" s="387"/>
      <c r="C12" s="387"/>
      <c r="D12" s="387"/>
    </row>
    <row r="13" spans="1:4" s="214" customFormat="1" x14ac:dyDescent="0.2">
      <c r="A13" s="212" t="s">
        <v>145</v>
      </c>
      <c r="B13" s="387"/>
      <c r="C13" s="387"/>
      <c r="D13" s="387"/>
    </row>
    <row r="14" spans="1:4" s="214" customFormat="1" x14ac:dyDescent="0.2">
      <c r="A14" s="212" t="s">
        <v>119</v>
      </c>
      <c r="B14" s="387">
        <v>37006335</v>
      </c>
      <c r="C14" s="387">
        <v>18838964</v>
      </c>
      <c r="D14" s="388">
        <v>1298097</v>
      </c>
    </row>
    <row r="15" spans="1:4" s="214" customFormat="1" x14ac:dyDescent="0.2">
      <c r="A15" s="212" t="s">
        <v>120</v>
      </c>
      <c r="B15" s="387"/>
      <c r="C15" s="387"/>
      <c r="D15" s="387"/>
    </row>
    <row r="16" spans="1:4" s="214" customFormat="1" x14ac:dyDescent="0.2">
      <c r="A16" s="215" t="s">
        <v>99</v>
      </c>
      <c r="B16" s="386"/>
      <c r="C16" s="386"/>
      <c r="D16" s="386"/>
    </row>
    <row r="17" spans="1:4" s="214" customFormat="1" x14ac:dyDescent="0.2">
      <c r="A17" s="212" t="s">
        <v>121</v>
      </c>
      <c r="B17" s="387"/>
      <c r="C17" s="387"/>
      <c r="D17" s="387"/>
    </row>
    <row r="18" spans="1:4" s="219" customFormat="1" ht="18" customHeight="1" x14ac:dyDescent="0.2">
      <c r="A18" s="217" t="s">
        <v>327</v>
      </c>
      <c r="B18" s="389">
        <f>+B4+B11+B16</f>
        <v>694112562</v>
      </c>
      <c r="C18" s="389">
        <f t="shared" ref="C18:D18" si="2">+C4+C11+C16</f>
        <v>695525155</v>
      </c>
      <c r="D18" s="389">
        <f t="shared" si="2"/>
        <v>710590966</v>
      </c>
    </row>
    <row r="20" spans="1:4" s="210" customFormat="1" ht="38.25" customHeight="1" x14ac:dyDescent="0.2">
      <c r="A20" s="222" t="s">
        <v>462</v>
      </c>
      <c r="B20" s="223">
        <v>2019</v>
      </c>
      <c r="C20" s="223">
        <v>2020</v>
      </c>
      <c r="D20" s="223">
        <v>2021</v>
      </c>
    </row>
    <row r="21" spans="1:4" s="216" customFormat="1" x14ac:dyDescent="0.2">
      <c r="A21" s="215" t="s">
        <v>122</v>
      </c>
      <c r="B21" s="386">
        <f>SUM(B22:B27)</f>
        <v>732046730</v>
      </c>
      <c r="C21" s="386">
        <f t="shared" ref="C21:D21" si="3">SUM(C22:C27)</f>
        <v>752345772</v>
      </c>
      <c r="D21" s="386">
        <f t="shared" si="3"/>
        <v>709292869</v>
      </c>
    </row>
    <row r="22" spans="1:4" s="214" customFormat="1" x14ac:dyDescent="0.2">
      <c r="A22" s="212" t="s">
        <v>111</v>
      </c>
      <c r="B22" s="387"/>
      <c r="C22" s="387"/>
      <c r="D22" s="387"/>
    </row>
    <row r="23" spans="1:4" s="214" customFormat="1" x14ac:dyDescent="0.2">
      <c r="A23" s="212" t="s">
        <v>112</v>
      </c>
      <c r="B23" s="387">
        <v>504254695</v>
      </c>
      <c r="C23" s="387">
        <v>534054883</v>
      </c>
      <c r="D23" s="388">
        <v>528927100</v>
      </c>
    </row>
    <row r="24" spans="1:4" s="214" customFormat="1" x14ac:dyDescent="0.2">
      <c r="A24" s="212" t="s">
        <v>113</v>
      </c>
      <c r="B24" s="387">
        <v>68236354</v>
      </c>
      <c r="C24" s="387">
        <v>69372954</v>
      </c>
      <c r="D24" s="388">
        <v>64251002</v>
      </c>
    </row>
    <row r="25" spans="1:4" s="214" customFormat="1" x14ac:dyDescent="0.2">
      <c r="A25" s="212" t="s">
        <v>114</v>
      </c>
      <c r="B25" s="387">
        <v>146777751</v>
      </c>
      <c r="C25" s="387">
        <v>146279479</v>
      </c>
      <c r="D25" s="388">
        <v>115985586</v>
      </c>
    </row>
    <row r="26" spans="1:4" s="214" customFormat="1" x14ac:dyDescent="0.2">
      <c r="A26" s="212" t="s">
        <v>143</v>
      </c>
      <c r="B26" s="387"/>
      <c r="C26" s="387"/>
      <c r="D26" s="387"/>
    </row>
    <row r="27" spans="1:4" s="214" customFormat="1" x14ac:dyDescent="0.2">
      <c r="A27" s="212" t="s">
        <v>144</v>
      </c>
      <c r="B27" s="387">
        <v>12777930</v>
      </c>
      <c r="C27" s="387">
        <v>2638456</v>
      </c>
      <c r="D27" s="388">
        <v>129181</v>
      </c>
    </row>
    <row r="28" spans="1:4" s="214" customFormat="1" x14ac:dyDescent="0.2">
      <c r="A28" s="215" t="s">
        <v>110</v>
      </c>
      <c r="B28" s="386">
        <f>SUM(B29:B32)</f>
        <v>45690547</v>
      </c>
      <c r="C28" s="386">
        <f t="shared" ref="C28:D28" si="4">SUM(C29:C32)</f>
        <v>19526749</v>
      </c>
      <c r="D28" s="386">
        <f t="shared" si="4"/>
        <v>1298097</v>
      </c>
    </row>
    <row r="29" spans="1:4" s="214" customFormat="1" x14ac:dyDescent="0.2">
      <c r="A29" s="212" t="s">
        <v>142</v>
      </c>
      <c r="B29" s="387"/>
      <c r="C29" s="387"/>
      <c r="D29" s="387"/>
    </row>
    <row r="30" spans="1:4" s="214" customFormat="1" x14ac:dyDescent="0.2">
      <c r="A30" s="212" t="s">
        <v>145</v>
      </c>
      <c r="B30" s="387"/>
      <c r="C30" s="387"/>
      <c r="D30" s="387"/>
    </row>
    <row r="31" spans="1:4" s="214" customFormat="1" x14ac:dyDescent="0.2">
      <c r="A31" s="212" t="s">
        <v>119</v>
      </c>
      <c r="B31" s="387">
        <v>45690547</v>
      </c>
      <c r="C31" s="387">
        <v>19526749</v>
      </c>
      <c r="D31" s="388">
        <v>1298097</v>
      </c>
    </row>
    <row r="32" spans="1:4" s="214" customFormat="1" x14ac:dyDescent="0.2">
      <c r="A32" s="212" t="s">
        <v>120</v>
      </c>
      <c r="B32" s="387"/>
      <c r="C32" s="387"/>
      <c r="D32" s="387"/>
    </row>
    <row r="33" spans="1:4" s="214" customFormat="1" x14ac:dyDescent="0.2">
      <c r="A33" s="215" t="s">
        <v>99</v>
      </c>
      <c r="B33" s="386"/>
      <c r="C33" s="386"/>
      <c r="D33" s="386"/>
    </row>
    <row r="34" spans="1:4" s="214" customFormat="1" x14ac:dyDescent="0.2">
      <c r="A34" s="212" t="s">
        <v>121</v>
      </c>
      <c r="B34" s="387"/>
      <c r="C34" s="387"/>
      <c r="D34" s="387"/>
    </row>
    <row r="35" spans="1:4" s="219" customFormat="1" ht="18" customHeight="1" x14ac:dyDescent="0.2">
      <c r="A35" s="217" t="s">
        <v>328</v>
      </c>
      <c r="B35" s="389">
        <f>+B21+B28+B33</f>
        <v>777737277</v>
      </c>
      <c r="C35" s="389">
        <f t="shared" ref="C35:D35" si="5">+C21+C28+C33</f>
        <v>771872521</v>
      </c>
      <c r="D35" s="389">
        <f t="shared" si="5"/>
        <v>710590966</v>
      </c>
    </row>
    <row r="37" spans="1:4" s="210" customFormat="1" ht="38.25" customHeight="1" x14ac:dyDescent="0.2">
      <c r="A37" s="222" t="s">
        <v>463</v>
      </c>
      <c r="B37" s="223">
        <v>2019</v>
      </c>
      <c r="C37" s="223">
        <v>2020</v>
      </c>
      <c r="D37" s="223">
        <v>2021</v>
      </c>
    </row>
    <row r="38" spans="1:4" s="216" customFormat="1" x14ac:dyDescent="0.2">
      <c r="A38" s="215" t="s">
        <v>122</v>
      </c>
      <c r="B38" s="386">
        <f>SUM(B39:B44)</f>
        <v>684133294.88</v>
      </c>
      <c r="C38" s="386">
        <f t="shared" ref="C38:D38" si="6">SUM(C39:C44)</f>
        <v>752345772</v>
      </c>
      <c r="D38" s="386">
        <f t="shared" si="6"/>
        <v>709292869</v>
      </c>
    </row>
    <row r="39" spans="1:4" s="214" customFormat="1" x14ac:dyDescent="0.2">
      <c r="A39" s="212" t="s">
        <v>111</v>
      </c>
      <c r="B39" s="387"/>
      <c r="C39" s="387"/>
      <c r="D39" s="387"/>
    </row>
    <row r="40" spans="1:4" s="214" customFormat="1" x14ac:dyDescent="0.2">
      <c r="A40" s="212" t="s">
        <v>112</v>
      </c>
      <c r="B40" s="387">
        <v>485405131.06</v>
      </c>
      <c r="C40" s="387">
        <v>534054883</v>
      </c>
      <c r="D40" s="388">
        <v>528927100</v>
      </c>
    </row>
    <row r="41" spans="1:4" s="214" customFormat="1" x14ac:dyDescent="0.2">
      <c r="A41" s="212" t="s">
        <v>113</v>
      </c>
      <c r="B41" s="387">
        <v>64779092.390000001</v>
      </c>
      <c r="C41" s="387">
        <v>69372954</v>
      </c>
      <c r="D41" s="388">
        <v>64251002</v>
      </c>
    </row>
    <row r="42" spans="1:4" s="214" customFormat="1" x14ac:dyDescent="0.2">
      <c r="A42" s="212" t="s">
        <v>114</v>
      </c>
      <c r="B42" s="387">
        <v>125062778.01000001</v>
      </c>
      <c r="C42" s="387">
        <v>146279479</v>
      </c>
      <c r="D42" s="388">
        <v>115985586</v>
      </c>
    </row>
    <row r="43" spans="1:4" s="214" customFormat="1" x14ac:dyDescent="0.2">
      <c r="A43" s="212" t="s">
        <v>143</v>
      </c>
      <c r="B43" s="387"/>
      <c r="C43" s="387"/>
      <c r="D43" s="387"/>
    </row>
    <row r="44" spans="1:4" s="214" customFormat="1" x14ac:dyDescent="0.2">
      <c r="A44" s="212" t="s">
        <v>144</v>
      </c>
      <c r="B44" s="387">
        <v>8886293.4199999999</v>
      </c>
      <c r="C44" s="387">
        <v>2638456</v>
      </c>
      <c r="D44" s="388">
        <v>129181</v>
      </c>
    </row>
    <row r="45" spans="1:4" s="214" customFormat="1" x14ac:dyDescent="0.2">
      <c r="A45" s="215" t="s">
        <v>110</v>
      </c>
      <c r="B45" s="386">
        <f>SUM(B46:B49)</f>
        <v>7332188.8300000001</v>
      </c>
      <c r="C45" s="386">
        <f t="shared" ref="C45:D45" si="7">SUM(C46:C49)</f>
        <v>19526749</v>
      </c>
      <c r="D45" s="386">
        <f t="shared" si="7"/>
        <v>1298097</v>
      </c>
    </row>
    <row r="46" spans="1:4" s="214" customFormat="1" x14ac:dyDescent="0.2">
      <c r="A46" s="212" t="s">
        <v>142</v>
      </c>
      <c r="B46" s="387"/>
      <c r="C46" s="387"/>
      <c r="D46" s="387"/>
    </row>
    <row r="47" spans="1:4" s="214" customFormat="1" x14ac:dyDescent="0.2">
      <c r="A47" s="212" t="s">
        <v>145</v>
      </c>
      <c r="B47" s="387"/>
      <c r="C47" s="387"/>
      <c r="D47" s="387"/>
    </row>
    <row r="48" spans="1:4" s="214" customFormat="1" x14ac:dyDescent="0.2">
      <c r="A48" s="212" t="s">
        <v>119</v>
      </c>
      <c r="B48" s="387">
        <v>7332188.8300000001</v>
      </c>
      <c r="C48" s="387">
        <v>19526749</v>
      </c>
      <c r="D48" s="388">
        <v>1298097</v>
      </c>
    </row>
    <row r="49" spans="1:4" s="214" customFormat="1" x14ac:dyDescent="0.2">
      <c r="A49" s="212" t="s">
        <v>120</v>
      </c>
      <c r="B49" s="387"/>
      <c r="C49" s="387"/>
      <c r="D49" s="387"/>
    </row>
    <row r="50" spans="1:4" s="214" customFormat="1" x14ac:dyDescent="0.2">
      <c r="A50" s="215" t="s">
        <v>99</v>
      </c>
      <c r="B50" s="386"/>
      <c r="C50" s="386"/>
      <c r="D50" s="386"/>
    </row>
    <row r="51" spans="1:4" s="214" customFormat="1" x14ac:dyDescent="0.2">
      <c r="A51" s="212" t="s">
        <v>121</v>
      </c>
      <c r="B51" s="387"/>
      <c r="C51" s="387"/>
      <c r="D51" s="387"/>
    </row>
    <row r="52" spans="1:4" s="219" customFormat="1" ht="13.5" customHeight="1" x14ac:dyDescent="0.2">
      <c r="A52" s="217" t="s">
        <v>329</v>
      </c>
      <c r="B52" s="389">
        <f>+B38+B45+B50</f>
        <v>691465483.71000004</v>
      </c>
      <c r="C52" s="389">
        <f t="shared" ref="C52:D52" si="8">+C38+C45+C50</f>
        <v>771872521</v>
      </c>
      <c r="D52" s="389">
        <f t="shared" si="8"/>
        <v>710590966</v>
      </c>
    </row>
    <row r="53" spans="1:4" x14ac:dyDescent="0.2">
      <c r="A53" s="375" t="s">
        <v>402</v>
      </c>
    </row>
    <row r="54" spans="1:4" x14ac:dyDescent="0.2">
      <c r="A54" s="376" t="s">
        <v>403</v>
      </c>
    </row>
    <row r="55" spans="1:4" x14ac:dyDescent="0.2">
      <c r="A55" s="376"/>
    </row>
    <row r="56" spans="1:4" x14ac:dyDescent="0.2">
      <c r="A56" s="376"/>
    </row>
    <row r="57" spans="1:4" x14ac:dyDescent="0.2">
      <c r="A57" s="171" t="s">
        <v>404</v>
      </c>
    </row>
    <row r="58" spans="1:4" x14ac:dyDescent="0.2">
      <c r="A58" s="173" t="s">
        <v>460</v>
      </c>
    </row>
    <row r="59" spans="1:4" ht="38.25" x14ac:dyDescent="0.2">
      <c r="A59" s="222" t="s">
        <v>464</v>
      </c>
      <c r="B59" s="223">
        <v>2019</v>
      </c>
      <c r="C59" s="223">
        <v>2020</v>
      </c>
      <c r="D59" s="223">
        <v>2021</v>
      </c>
    </row>
    <row r="60" spans="1:4" x14ac:dyDescent="0.2">
      <c r="A60" s="215" t="s">
        <v>122</v>
      </c>
      <c r="B60" s="386">
        <f>SUM(B61:B66)</f>
        <v>44657256</v>
      </c>
      <c r="C60" s="386">
        <f t="shared" ref="C60:D60" si="9">SUM(C61:C66)</f>
        <v>40061626</v>
      </c>
      <c r="D60" s="386">
        <f t="shared" si="9"/>
        <v>33070972</v>
      </c>
    </row>
    <row r="61" spans="1:4" x14ac:dyDescent="0.2">
      <c r="A61" s="212" t="s">
        <v>111</v>
      </c>
      <c r="B61" s="387"/>
      <c r="C61" s="387"/>
      <c r="D61" s="387"/>
    </row>
    <row r="62" spans="1:4" x14ac:dyDescent="0.2">
      <c r="A62" s="212" t="s">
        <v>112</v>
      </c>
      <c r="B62" s="387"/>
      <c r="C62" s="387"/>
      <c r="D62" s="387"/>
    </row>
    <row r="63" spans="1:4" x14ac:dyDescent="0.2">
      <c r="A63" s="212" t="s">
        <v>113</v>
      </c>
      <c r="B63" s="387"/>
      <c r="C63" s="387"/>
      <c r="D63" s="387"/>
    </row>
    <row r="64" spans="1:4" x14ac:dyDescent="0.2">
      <c r="A64" s="212" t="s">
        <v>114</v>
      </c>
      <c r="B64" s="387">
        <v>44657256</v>
      </c>
      <c r="C64" s="387">
        <v>34811078</v>
      </c>
      <c r="D64" s="388">
        <v>27880424</v>
      </c>
    </row>
    <row r="65" spans="1:4" x14ac:dyDescent="0.2">
      <c r="A65" s="212" t="s">
        <v>143</v>
      </c>
      <c r="B65" s="387"/>
      <c r="C65" s="387"/>
      <c r="D65" s="387"/>
    </row>
    <row r="66" spans="1:4" x14ac:dyDescent="0.2">
      <c r="A66" s="212" t="s">
        <v>144</v>
      </c>
      <c r="B66" s="387"/>
      <c r="C66" s="387">
        <v>5250548</v>
      </c>
      <c r="D66" s="388">
        <v>5190548</v>
      </c>
    </row>
    <row r="67" spans="1:4" x14ac:dyDescent="0.2">
      <c r="A67" s="215" t="s">
        <v>110</v>
      </c>
      <c r="B67" s="386">
        <f>SUM(B68:B71)</f>
        <v>6747535</v>
      </c>
      <c r="C67" s="386">
        <f t="shared" ref="C67:D67" si="10">SUM(C68:C71)</f>
        <v>834878</v>
      </c>
      <c r="D67" s="386">
        <f t="shared" si="10"/>
        <v>0</v>
      </c>
    </row>
    <row r="68" spans="1:4" x14ac:dyDescent="0.2">
      <c r="A68" s="212" t="s">
        <v>142</v>
      </c>
      <c r="B68" s="387"/>
      <c r="C68" s="387"/>
      <c r="D68" s="387"/>
    </row>
    <row r="69" spans="1:4" x14ac:dyDescent="0.2">
      <c r="A69" s="212" t="s">
        <v>145</v>
      </c>
      <c r="B69" s="387"/>
      <c r="C69" s="387"/>
      <c r="D69" s="387"/>
    </row>
    <row r="70" spans="1:4" x14ac:dyDescent="0.2">
      <c r="A70" s="212" t="s">
        <v>119</v>
      </c>
      <c r="B70" s="387">
        <v>6747535</v>
      </c>
      <c r="C70" s="387">
        <v>834878</v>
      </c>
      <c r="D70" s="387"/>
    </row>
    <row r="71" spans="1:4" x14ac:dyDescent="0.2">
      <c r="A71" s="212" t="s">
        <v>120</v>
      </c>
      <c r="B71" s="387"/>
      <c r="C71" s="387"/>
      <c r="D71" s="387"/>
    </row>
    <row r="72" spans="1:4" x14ac:dyDescent="0.2">
      <c r="A72" s="215" t="s">
        <v>99</v>
      </c>
      <c r="B72" s="386"/>
      <c r="C72" s="386"/>
      <c r="D72" s="386"/>
    </row>
    <row r="73" spans="1:4" x14ac:dyDescent="0.2">
      <c r="A73" s="212" t="s">
        <v>121</v>
      </c>
      <c r="B73" s="387"/>
      <c r="C73" s="387"/>
      <c r="D73" s="387"/>
    </row>
    <row r="74" spans="1:4" x14ac:dyDescent="0.2">
      <c r="A74" s="217" t="s">
        <v>327</v>
      </c>
      <c r="B74" s="389">
        <f>+B60+B67+B72</f>
        <v>51404791</v>
      </c>
      <c r="C74" s="389">
        <f t="shared" ref="C74:D74" si="11">+C60+C67+C72</f>
        <v>40896504</v>
      </c>
      <c r="D74" s="389">
        <f t="shared" si="11"/>
        <v>33070972</v>
      </c>
    </row>
    <row r="76" spans="1:4" ht="47.25" customHeight="1" x14ac:dyDescent="0.2">
      <c r="A76" s="222" t="s">
        <v>465</v>
      </c>
      <c r="B76" s="223">
        <v>2019</v>
      </c>
      <c r="C76" s="223">
        <v>2020</v>
      </c>
      <c r="D76" s="223">
        <v>2021</v>
      </c>
    </row>
    <row r="77" spans="1:4" x14ac:dyDescent="0.2">
      <c r="A77" s="215" t="s">
        <v>122</v>
      </c>
      <c r="B77" s="386">
        <f>SUM(B78:B83)</f>
        <v>47126280</v>
      </c>
      <c r="C77" s="386">
        <f t="shared" ref="C77:D77" si="12">SUM(C78:C83)</f>
        <v>40964349</v>
      </c>
      <c r="D77" s="386">
        <f t="shared" si="12"/>
        <v>33070972</v>
      </c>
    </row>
    <row r="78" spans="1:4" x14ac:dyDescent="0.2">
      <c r="A78" s="212" t="s">
        <v>111</v>
      </c>
      <c r="B78" s="387"/>
      <c r="C78" s="387"/>
      <c r="D78" s="387"/>
    </row>
    <row r="79" spans="1:4" x14ac:dyDescent="0.2">
      <c r="A79" s="212" t="s">
        <v>112</v>
      </c>
      <c r="B79" s="387"/>
      <c r="C79" s="387"/>
      <c r="D79" s="387"/>
    </row>
    <row r="80" spans="1:4" x14ac:dyDescent="0.2">
      <c r="A80" s="212" t="s">
        <v>113</v>
      </c>
      <c r="B80" s="387"/>
      <c r="C80" s="387"/>
      <c r="D80" s="387"/>
    </row>
    <row r="81" spans="1:6" x14ac:dyDescent="0.2">
      <c r="A81" s="212" t="s">
        <v>114</v>
      </c>
      <c r="B81" s="387">
        <v>47067095</v>
      </c>
      <c r="C81" s="387">
        <v>37400617</v>
      </c>
      <c r="D81" s="388">
        <v>27880424</v>
      </c>
      <c r="F81">
        <f>+C81*0.8</f>
        <v>29920493.600000001</v>
      </c>
    </row>
    <row r="82" spans="1:6" x14ac:dyDescent="0.2">
      <c r="A82" s="212" t="s">
        <v>143</v>
      </c>
      <c r="B82" s="387"/>
      <c r="C82" s="387"/>
      <c r="D82" s="387"/>
    </row>
    <row r="83" spans="1:6" x14ac:dyDescent="0.2">
      <c r="A83" s="212" t="s">
        <v>144</v>
      </c>
      <c r="B83" s="387">
        <v>59185</v>
      </c>
      <c r="C83" s="387">
        <v>3563732</v>
      </c>
      <c r="D83" s="388">
        <v>5190548</v>
      </c>
      <c r="F83">
        <f>+C83*0.08</f>
        <v>285098.56</v>
      </c>
    </row>
    <row r="84" spans="1:6" x14ac:dyDescent="0.2">
      <c r="A84" s="215" t="s">
        <v>110</v>
      </c>
      <c r="B84" s="386">
        <f>SUM(B85:B88)</f>
        <v>8207109</v>
      </c>
      <c r="C84" s="386">
        <f t="shared" ref="C84:D84" si="13">SUM(C85:C88)</f>
        <v>965769</v>
      </c>
      <c r="D84" s="386">
        <f t="shared" si="13"/>
        <v>0</v>
      </c>
    </row>
    <row r="85" spans="1:6" x14ac:dyDescent="0.2">
      <c r="A85" s="212" t="s">
        <v>142</v>
      </c>
      <c r="B85" s="387"/>
      <c r="C85" s="387"/>
      <c r="D85" s="387"/>
    </row>
    <row r="86" spans="1:6" x14ac:dyDescent="0.2">
      <c r="A86" s="212" t="s">
        <v>145</v>
      </c>
      <c r="B86" s="387"/>
      <c r="C86" s="387"/>
      <c r="D86" s="387"/>
    </row>
    <row r="87" spans="1:6" x14ac:dyDescent="0.2">
      <c r="A87" s="212" t="s">
        <v>119</v>
      </c>
      <c r="B87" s="387">
        <v>8207109</v>
      </c>
      <c r="C87" s="387">
        <v>965769</v>
      </c>
      <c r="D87" s="387"/>
      <c r="F87">
        <f>+C87*0.8</f>
        <v>772615.20000000007</v>
      </c>
    </row>
    <row r="88" spans="1:6" x14ac:dyDescent="0.2">
      <c r="A88" s="212" t="s">
        <v>120</v>
      </c>
      <c r="B88" s="387"/>
      <c r="C88" s="387"/>
      <c r="D88" s="387"/>
    </row>
    <row r="89" spans="1:6" x14ac:dyDescent="0.2">
      <c r="A89" s="215" t="s">
        <v>99</v>
      </c>
      <c r="B89" s="386"/>
      <c r="C89" s="386"/>
      <c r="D89" s="386"/>
    </row>
    <row r="90" spans="1:6" x14ac:dyDescent="0.2">
      <c r="A90" s="212" t="s">
        <v>121</v>
      </c>
      <c r="B90" s="387"/>
      <c r="C90" s="387"/>
      <c r="D90" s="387"/>
    </row>
    <row r="91" spans="1:6" x14ac:dyDescent="0.2">
      <c r="A91" s="217" t="s">
        <v>328</v>
      </c>
      <c r="B91" s="389">
        <f>+B77+B84+B89</f>
        <v>55333389</v>
      </c>
      <c r="C91" s="389">
        <f t="shared" ref="C91:D91" si="14">+C77+C84+C89</f>
        <v>41930118</v>
      </c>
      <c r="D91" s="389">
        <f t="shared" si="14"/>
        <v>33070972</v>
      </c>
    </row>
    <row r="93" spans="1:6" ht="38.25" x14ac:dyDescent="0.2">
      <c r="A93" s="222" t="s">
        <v>466</v>
      </c>
      <c r="B93" s="223">
        <v>2019</v>
      </c>
      <c r="C93" s="223">
        <v>2020</v>
      </c>
      <c r="D93" s="223">
        <v>2021</v>
      </c>
    </row>
    <row r="94" spans="1:6" x14ac:dyDescent="0.2">
      <c r="A94" s="215" t="s">
        <v>122</v>
      </c>
      <c r="B94" s="386">
        <f>SUM(B95:B100)</f>
        <v>32700494.48</v>
      </c>
      <c r="C94" s="386">
        <f t="shared" ref="C94:D94" si="15">SUM(C95:C100)</f>
        <v>30205593</v>
      </c>
      <c r="D94" s="386">
        <f t="shared" si="15"/>
        <v>33070972</v>
      </c>
    </row>
    <row r="95" spans="1:6" x14ac:dyDescent="0.2">
      <c r="A95" s="212" t="s">
        <v>111</v>
      </c>
      <c r="B95" s="387"/>
      <c r="C95" s="387"/>
      <c r="D95" s="387"/>
    </row>
    <row r="96" spans="1:6" x14ac:dyDescent="0.2">
      <c r="A96" s="212" t="s">
        <v>112</v>
      </c>
      <c r="B96" s="387"/>
      <c r="C96" s="387"/>
      <c r="D96" s="387"/>
    </row>
    <row r="97" spans="1:4" x14ac:dyDescent="0.2">
      <c r="A97" s="212" t="s">
        <v>113</v>
      </c>
      <c r="B97" s="387"/>
      <c r="C97" s="387"/>
      <c r="D97" s="387"/>
    </row>
    <row r="98" spans="1:4" x14ac:dyDescent="0.2">
      <c r="A98" s="212" t="s">
        <v>114</v>
      </c>
      <c r="B98" s="387">
        <v>32643189.32</v>
      </c>
      <c r="C98" s="387">
        <v>29920494</v>
      </c>
      <c r="D98" s="388">
        <v>27880424</v>
      </c>
    </row>
    <row r="99" spans="1:4" x14ac:dyDescent="0.2">
      <c r="A99" s="212" t="s">
        <v>143</v>
      </c>
      <c r="B99" s="387"/>
      <c r="C99" s="387"/>
      <c r="D99" s="387"/>
    </row>
    <row r="100" spans="1:4" x14ac:dyDescent="0.2">
      <c r="A100" s="212" t="s">
        <v>144</v>
      </c>
      <c r="B100" s="387">
        <v>57305.16</v>
      </c>
      <c r="C100" s="387">
        <v>285099</v>
      </c>
      <c r="D100" s="388">
        <v>5190548</v>
      </c>
    </row>
    <row r="101" spans="1:4" x14ac:dyDescent="0.2">
      <c r="A101" s="215" t="s">
        <v>110</v>
      </c>
      <c r="B101" s="386">
        <f>SUM(B102:B105)</f>
        <v>2389921.09</v>
      </c>
      <c r="C101" s="386">
        <f t="shared" ref="C101:D101" si="16">SUM(C102:C105)</f>
        <v>772615</v>
      </c>
      <c r="D101" s="386">
        <f t="shared" si="16"/>
        <v>0</v>
      </c>
    </row>
    <row r="102" spans="1:4" x14ac:dyDescent="0.2">
      <c r="A102" s="212" t="s">
        <v>142</v>
      </c>
      <c r="B102" s="387"/>
      <c r="C102" s="387"/>
      <c r="D102" s="387"/>
    </row>
    <row r="103" spans="1:4" x14ac:dyDescent="0.2">
      <c r="A103" s="212" t="s">
        <v>145</v>
      </c>
      <c r="B103" s="387"/>
      <c r="C103" s="387"/>
      <c r="D103" s="387"/>
    </row>
    <row r="104" spans="1:4" x14ac:dyDescent="0.2">
      <c r="A104" s="212" t="s">
        <v>119</v>
      </c>
      <c r="B104" s="387">
        <v>2389921.09</v>
      </c>
      <c r="C104" s="387">
        <v>772615</v>
      </c>
      <c r="D104" s="387"/>
    </row>
    <row r="105" spans="1:4" x14ac:dyDescent="0.2">
      <c r="A105" s="212" t="s">
        <v>120</v>
      </c>
      <c r="B105" s="387"/>
      <c r="C105" s="387"/>
      <c r="D105" s="387"/>
    </row>
    <row r="106" spans="1:4" x14ac:dyDescent="0.2">
      <c r="A106" s="215" t="s">
        <v>99</v>
      </c>
      <c r="B106" s="386"/>
      <c r="C106" s="386"/>
      <c r="D106" s="386"/>
    </row>
    <row r="107" spans="1:4" x14ac:dyDescent="0.2">
      <c r="A107" s="212" t="s">
        <v>121</v>
      </c>
      <c r="B107" s="387"/>
      <c r="C107" s="387"/>
      <c r="D107" s="387"/>
    </row>
    <row r="108" spans="1:4" x14ac:dyDescent="0.2">
      <c r="A108" s="217" t="s">
        <v>329</v>
      </c>
      <c r="B108" s="389">
        <f>+B94+B101+B106</f>
        <v>35090415.57</v>
      </c>
      <c r="C108" s="389">
        <f t="shared" ref="C108:D108" si="17">+C94+C101+C106</f>
        <v>30978208</v>
      </c>
      <c r="D108" s="389">
        <f t="shared" si="17"/>
        <v>33070972</v>
      </c>
    </row>
    <row r="109" spans="1:4" x14ac:dyDescent="0.2">
      <c r="A109" s="375" t="s">
        <v>402</v>
      </c>
    </row>
    <row r="110" spans="1:4" x14ac:dyDescent="0.2">
      <c r="A110" s="376" t="s">
        <v>403</v>
      </c>
    </row>
    <row r="111" spans="1:4" x14ac:dyDescent="0.2">
      <c r="A111" s="376"/>
    </row>
    <row r="112" spans="1:4" x14ac:dyDescent="0.2">
      <c r="A112" s="376"/>
    </row>
    <row r="113" spans="1:4" x14ac:dyDescent="0.2">
      <c r="A113" s="376"/>
    </row>
    <row r="114" spans="1:4" x14ac:dyDescent="0.2">
      <c r="A114" s="376"/>
    </row>
    <row r="115" spans="1:4" x14ac:dyDescent="0.2">
      <c r="A115" s="171" t="s">
        <v>404</v>
      </c>
    </row>
    <row r="116" spans="1:4" x14ac:dyDescent="0.2">
      <c r="A116" s="173" t="s">
        <v>460</v>
      </c>
    </row>
    <row r="117" spans="1:4" ht="38.25" x14ac:dyDescent="0.2">
      <c r="A117" s="222" t="s">
        <v>467</v>
      </c>
      <c r="B117" s="223">
        <v>2019</v>
      </c>
      <c r="C117" s="223">
        <v>2020</v>
      </c>
      <c r="D117" s="223">
        <v>2021</v>
      </c>
    </row>
    <row r="118" spans="1:4" x14ac:dyDescent="0.2">
      <c r="A118" s="215" t="s">
        <v>122</v>
      </c>
      <c r="B118" s="386">
        <f>SUM(B119:B124)</f>
        <v>0</v>
      </c>
      <c r="C118" s="386">
        <f t="shared" ref="C118:D118" si="18">SUM(C119:C124)</f>
        <v>0</v>
      </c>
      <c r="D118" s="386">
        <f t="shared" si="18"/>
        <v>0</v>
      </c>
    </row>
    <row r="119" spans="1:4" x14ac:dyDescent="0.2">
      <c r="A119" s="212" t="s">
        <v>111</v>
      </c>
      <c r="B119" s="387"/>
      <c r="C119" s="387"/>
      <c r="D119" s="387"/>
    </row>
    <row r="120" spans="1:4" x14ac:dyDescent="0.2">
      <c r="A120" s="212" t="s">
        <v>112</v>
      </c>
      <c r="B120" s="387"/>
      <c r="C120" s="387"/>
      <c r="D120" s="387"/>
    </row>
    <row r="121" spans="1:4" x14ac:dyDescent="0.2">
      <c r="A121" s="212" t="s">
        <v>113</v>
      </c>
      <c r="B121" s="387"/>
      <c r="C121" s="387"/>
      <c r="D121" s="387"/>
    </row>
    <row r="122" spans="1:4" x14ac:dyDescent="0.2">
      <c r="A122" s="212" t="s">
        <v>114</v>
      </c>
      <c r="B122" s="387"/>
      <c r="C122" s="387"/>
      <c r="D122" s="387"/>
    </row>
    <row r="123" spans="1:4" x14ac:dyDescent="0.2">
      <c r="A123" s="212" t="s">
        <v>143</v>
      </c>
      <c r="B123" s="387"/>
      <c r="C123" s="387"/>
      <c r="D123" s="387"/>
    </row>
    <row r="124" spans="1:4" x14ac:dyDescent="0.2">
      <c r="A124" s="212" t="s">
        <v>144</v>
      </c>
      <c r="B124" s="387"/>
      <c r="C124" s="387"/>
      <c r="D124" s="387"/>
    </row>
    <row r="125" spans="1:4" x14ac:dyDescent="0.2">
      <c r="A125" s="215" t="s">
        <v>110</v>
      </c>
      <c r="B125" s="386">
        <f>SUM(B126:B129)</f>
        <v>0</v>
      </c>
      <c r="C125" s="386">
        <f t="shared" ref="C125:D125" si="19">SUM(C126:C129)</f>
        <v>0</v>
      </c>
      <c r="D125" s="386">
        <f t="shared" si="19"/>
        <v>41938592</v>
      </c>
    </row>
    <row r="126" spans="1:4" x14ac:dyDescent="0.2">
      <c r="A126" s="212" t="s">
        <v>142</v>
      </c>
      <c r="B126" s="387"/>
      <c r="C126" s="387"/>
      <c r="D126" s="387"/>
    </row>
    <row r="127" spans="1:4" x14ac:dyDescent="0.2">
      <c r="A127" s="212" t="s">
        <v>145</v>
      </c>
      <c r="B127" s="387"/>
      <c r="C127" s="387"/>
      <c r="D127" s="387"/>
    </row>
    <row r="128" spans="1:4" x14ac:dyDescent="0.2">
      <c r="A128" s="212" t="s">
        <v>119</v>
      </c>
      <c r="B128" s="387"/>
      <c r="C128" s="387"/>
      <c r="D128" s="388">
        <v>41938592</v>
      </c>
    </row>
    <row r="129" spans="1:6" x14ac:dyDescent="0.2">
      <c r="A129" s="212" t="s">
        <v>120</v>
      </c>
      <c r="B129" s="387"/>
      <c r="C129" s="387"/>
      <c r="D129" s="387"/>
    </row>
    <row r="130" spans="1:6" x14ac:dyDescent="0.2">
      <c r="A130" s="215" t="s">
        <v>99</v>
      </c>
      <c r="B130" s="386"/>
      <c r="C130" s="386"/>
      <c r="D130" s="386"/>
    </row>
    <row r="131" spans="1:6" x14ac:dyDescent="0.2">
      <c r="A131" s="212" t="s">
        <v>121</v>
      </c>
      <c r="B131" s="387"/>
      <c r="C131" s="387"/>
      <c r="D131" s="387"/>
    </row>
    <row r="132" spans="1:6" x14ac:dyDescent="0.2">
      <c r="A132" s="217" t="s">
        <v>327</v>
      </c>
      <c r="B132" s="389">
        <f>+B118+B125+B130</f>
        <v>0</v>
      </c>
      <c r="C132" s="389">
        <f t="shared" ref="C132:D132" si="20">+C118+C125+C130</f>
        <v>0</v>
      </c>
      <c r="D132" s="389">
        <f t="shared" si="20"/>
        <v>41938592</v>
      </c>
    </row>
    <row r="134" spans="1:6" ht="38.25" x14ac:dyDescent="0.2">
      <c r="A134" s="222" t="s">
        <v>468</v>
      </c>
      <c r="B134" s="223">
        <v>2019</v>
      </c>
      <c r="C134" s="223">
        <v>2020</v>
      </c>
      <c r="D134" s="223">
        <v>2021</v>
      </c>
    </row>
    <row r="135" spans="1:6" x14ac:dyDescent="0.2">
      <c r="A135" s="215" t="s">
        <v>122</v>
      </c>
      <c r="B135" s="386">
        <f>SUM(B136:B141)</f>
        <v>0</v>
      </c>
      <c r="C135" s="386">
        <f t="shared" ref="C135:D135" si="21">SUM(C136:C141)</f>
        <v>8044593</v>
      </c>
      <c r="D135" s="386">
        <f t="shared" si="21"/>
        <v>0</v>
      </c>
    </row>
    <row r="136" spans="1:6" x14ac:dyDescent="0.2">
      <c r="A136" s="212" t="s">
        <v>111</v>
      </c>
      <c r="B136" s="387"/>
      <c r="C136" s="387"/>
      <c r="D136" s="387"/>
    </row>
    <row r="137" spans="1:6" x14ac:dyDescent="0.2">
      <c r="A137" s="212" t="s">
        <v>112</v>
      </c>
      <c r="B137" s="387"/>
      <c r="C137" s="387">
        <v>2719048</v>
      </c>
      <c r="D137" s="387"/>
      <c r="F137">
        <f>+C137*0.8</f>
        <v>2175238.4</v>
      </c>
    </row>
    <row r="138" spans="1:6" x14ac:dyDescent="0.2">
      <c r="A138" s="212" t="s">
        <v>113</v>
      </c>
      <c r="B138" s="387"/>
      <c r="C138" s="387"/>
      <c r="D138" s="387"/>
    </row>
    <row r="139" spans="1:6" x14ac:dyDescent="0.2">
      <c r="A139" s="212" t="s">
        <v>114</v>
      </c>
      <c r="B139" s="387"/>
      <c r="C139" s="387">
        <v>5325545</v>
      </c>
      <c r="D139" s="387"/>
      <c r="F139">
        <f>+C139*0.8</f>
        <v>4260436</v>
      </c>
    </row>
    <row r="140" spans="1:6" x14ac:dyDescent="0.2">
      <c r="A140" s="212" t="s">
        <v>143</v>
      </c>
      <c r="B140" s="387"/>
      <c r="C140" s="387"/>
      <c r="D140" s="387"/>
    </row>
    <row r="141" spans="1:6" x14ac:dyDescent="0.2">
      <c r="A141" s="212" t="s">
        <v>144</v>
      </c>
      <c r="B141" s="387"/>
      <c r="C141" s="387"/>
      <c r="D141" s="387"/>
    </row>
    <row r="142" spans="1:6" x14ac:dyDescent="0.2">
      <c r="A142" s="215" t="s">
        <v>110</v>
      </c>
      <c r="B142" s="386">
        <f>SUM(B143:B146)</f>
        <v>74405194</v>
      </c>
      <c r="C142" s="386">
        <f t="shared" ref="C142:D142" si="22">SUM(C143:C146)</f>
        <v>0</v>
      </c>
      <c r="D142" s="386">
        <f t="shared" si="22"/>
        <v>41938592</v>
      </c>
    </row>
    <row r="143" spans="1:6" x14ac:dyDescent="0.2">
      <c r="A143" s="212" t="s">
        <v>142</v>
      </c>
      <c r="B143" s="387"/>
      <c r="C143" s="387"/>
      <c r="D143" s="387"/>
    </row>
    <row r="144" spans="1:6" x14ac:dyDescent="0.2">
      <c r="A144" s="212" t="s">
        <v>145</v>
      </c>
      <c r="B144" s="387"/>
      <c r="C144" s="387"/>
      <c r="D144" s="387"/>
    </row>
    <row r="145" spans="1:4" x14ac:dyDescent="0.2">
      <c r="A145" s="212" t="s">
        <v>119</v>
      </c>
      <c r="B145" s="387">
        <v>74405194</v>
      </c>
      <c r="C145" s="387"/>
      <c r="D145" s="388">
        <v>41938592</v>
      </c>
    </row>
    <row r="146" spans="1:4" x14ac:dyDescent="0.2">
      <c r="A146" s="212" t="s">
        <v>120</v>
      </c>
      <c r="B146" s="387"/>
      <c r="C146" s="387"/>
      <c r="D146" s="387"/>
    </row>
    <row r="147" spans="1:4" x14ac:dyDescent="0.2">
      <c r="A147" s="215" t="s">
        <v>99</v>
      </c>
      <c r="B147" s="386">
        <f>+B148</f>
        <v>0</v>
      </c>
      <c r="C147" s="386">
        <f t="shared" ref="C147:D147" si="23">+C148</f>
        <v>0</v>
      </c>
      <c r="D147" s="386">
        <f t="shared" si="23"/>
        <v>0</v>
      </c>
    </row>
    <row r="148" spans="1:4" x14ac:dyDescent="0.2">
      <c r="A148" s="212" t="s">
        <v>121</v>
      </c>
      <c r="B148" s="387"/>
      <c r="C148" s="387"/>
      <c r="D148" s="387"/>
    </row>
    <row r="149" spans="1:4" x14ac:dyDescent="0.2">
      <c r="A149" s="217" t="s">
        <v>328</v>
      </c>
      <c r="B149" s="389">
        <f>+B135+B142+B147</f>
        <v>74405194</v>
      </c>
      <c r="C149" s="389">
        <f t="shared" ref="C149:D149" si="24">+C135+C142+C147</f>
        <v>8044593</v>
      </c>
      <c r="D149" s="389">
        <f t="shared" si="24"/>
        <v>41938592</v>
      </c>
    </row>
    <row r="151" spans="1:4" ht="38.25" x14ac:dyDescent="0.2">
      <c r="A151" s="222" t="s">
        <v>469</v>
      </c>
      <c r="B151" s="223">
        <v>2019</v>
      </c>
      <c r="C151" s="223">
        <v>2020</v>
      </c>
      <c r="D151" s="223">
        <v>2021</v>
      </c>
    </row>
    <row r="152" spans="1:4" x14ac:dyDescent="0.2">
      <c r="A152" s="215" t="s">
        <v>122</v>
      </c>
      <c r="B152" s="386">
        <f>SUM(B153:B158)</f>
        <v>0</v>
      </c>
      <c r="C152" s="386">
        <f t="shared" ref="C152:D152" si="25">SUM(C153:C158)</f>
        <v>6435674</v>
      </c>
      <c r="D152" s="386">
        <f t="shared" si="25"/>
        <v>0</v>
      </c>
    </row>
    <row r="153" spans="1:4" x14ac:dyDescent="0.2">
      <c r="A153" s="212" t="s">
        <v>111</v>
      </c>
      <c r="B153" s="387"/>
      <c r="C153" s="387"/>
      <c r="D153" s="387"/>
    </row>
    <row r="154" spans="1:4" x14ac:dyDescent="0.2">
      <c r="A154" s="212" t="s">
        <v>112</v>
      </c>
      <c r="B154" s="387"/>
      <c r="C154" s="387">
        <v>2175238</v>
      </c>
      <c r="D154" s="387"/>
    </row>
    <row r="155" spans="1:4" x14ac:dyDescent="0.2">
      <c r="A155" s="212" t="s">
        <v>113</v>
      </c>
      <c r="B155" s="387"/>
      <c r="C155" s="387"/>
      <c r="D155" s="387"/>
    </row>
    <row r="156" spans="1:4" x14ac:dyDescent="0.2">
      <c r="A156" s="212" t="s">
        <v>114</v>
      </c>
      <c r="B156" s="387"/>
      <c r="C156" s="387">
        <v>4260436</v>
      </c>
      <c r="D156" s="387"/>
    </row>
    <row r="157" spans="1:4" x14ac:dyDescent="0.2">
      <c r="A157" s="212" t="s">
        <v>143</v>
      </c>
      <c r="B157" s="387"/>
      <c r="C157" s="387"/>
      <c r="D157" s="387"/>
    </row>
    <row r="158" spans="1:4" x14ac:dyDescent="0.2">
      <c r="A158" s="212" t="s">
        <v>144</v>
      </c>
      <c r="B158" s="387"/>
      <c r="C158" s="387"/>
      <c r="D158" s="387"/>
    </row>
    <row r="159" spans="1:4" x14ac:dyDescent="0.2">
      <c r="A159" s="215" t="s">
        <v>110</v>
      </c>
      <c r="B159" s="386">
        <f>SUM(B160:B163)</f>
        <v>2329095.41</v>
      </c>
      <c r="C159" s="386">
        <f t="shared" ref="C159:D159" si="26">SUM(C160:C163)</f>
        <v>0</v>
      </c>
      <c r="D159" s="386">
        <f t="shared" si="26"/>
        <v>41938592</v>
      </c>
    </row>
    <row r="160" spans="1:4" x14ac:dyDescent="0.2">
      <c r="A160" s="212" t="s">
        <v>142</v>
      </c>
      <c r="B160" s="387"/>
      <c r="C160" s="387"/>
      <c r="D160" s="387"/>
    </row>
    <row r="161" spans="1:4" x14ac:dyDescent="0.2">
      <c r="A161" s="212" t="s">
        <v>145</v>
      </c>
      <c r="B161" s="387"/>
      <c r="C161" s="387"/>
      <c r="D161" s="387"/>
    </row>
    <row r="162" spans="1:4" x14ac:dyDescent="0.2">
      <c r="A162" s="212" t="s">
        <v>119</v>
      </c>
      <c r="B162" s="387">
        <v>2329095.41</v>
      </c>
      <c r="C162" s="387"/>
      <c r="D162" s="388">
        <v>41938592</v>
      </c>
    </row>
    <row r="163" spans="1:4" x14ac:dyDescent="0.2">
      <c r="A163" s="212" t="s">
        <v>120</v>
      </c>
      <c r="B163" s="387"/>
      <c r="C163" s="387"/>
      <c r="D163" s="387"/>
    </row>
    <row r="164" spans="1:4" x14ac:dyDescent="0.2">
      <c r="A164" s="215" t="s">
        <v>99</v>
      </c>
      <c r="B164" s="386">
        <f>+B165</f>
        <v>0</v>
      </c>
      <c r="C164" s="386">
        <f t="shared" ref="C164:D164" si="27">+C165</f>
        <v>0</v>
      </c>
      <c r="D164" s="386">
        <f t="shared" si="27"/>
        <v>0</v>
      </c>
    </row>
    <row r="165" spans="1:4" x14ac:dyDescent="0.2">
      <c r="A165" s="212" t="s">
        <v>121</v>
      </c>
      <c r="B165" s="387"/>
      <c r="C165" s="387"/>
      <c r="D165" s="387"/>
    </row>
    <row r="166" spans="1:4" x14ac:dyDescent="0.2">
      <c r="A166" s="217" t="s">
        <v>329</v>
      </c>
      <c r="B166" s="389">
        <f>+B152+B159+B164</f>
        <v>2329095.41</v>
      </c>
      <c r="C166" s="389">
        <f t="shared" ref="C166:D166" si="28">+C152+C159+C164</f>
        <v>6435674</v>
      </c>
      <c r="D166" s="389">
        <f t="shared" si="28"/>
        <v>41938592</v>
      </c>
    </row>
    <row r="167" spans="1:4" x14ac:dyDescent="0.2">
      <c r="A167" s="375" t="s">
        <v>402</v>
      </c>
    </row>
    <row r="168" spans="1:4" x14ac:dyDescent="0.2">
      <c r="A168" s="376" t="s">
        <v>403</v>
      </c>
    </row>
    <row r="170" spans="1:4" x14ac:dyDescent="0.2">
      <c r="A170" s="171" t="s">
        <v>404</v>
      </c>
    </row>
    <row r="171" spans="1:4" x14ac:dyDescent="0.2">
      <c r="A171" s="173" t="s">
        <v>460</v>
      </c>
    </row>
    <row r="172" spans="1:4" ht="38.25" x14ac:dyDescent="0.2">
      <c r="A172" s="222" t="s">
        <v>470</v>
      </c>
      <c r="B172" s="223">
        <v>2019</v>
      </c>
      <c r="C172" s="223">
        <v>2020</v>
      </c>
      <c r="D172" s="223">
        <v>2021</v>
      </c>
    </row>
    <row r="173" spans="1:4" x14ac:dyDescent="0.2">
      <c r="A173" s="215" t="s">
        <v>122</v>
      </c>
      <c r="B173" s="386">
        <f>SUM(B174:B179)</f>
        <v>0</v>
      </c>
      <c r="C173" s="386">
        <f t="shared" ref="C173:D173" si="29">SUM(C174:C179)</f>
        <v>386800</v>
      </c>
      <c r="D173" s="386">
        <f t="shared" si="29"/>
        <v>72400</v>
      </c>
    </row>
    <row r="174" spans="1:4" x14ac:dyDescent="0.2">
      <c r="A174" s="212" t="s">
        <v>111</v>
      </c>
      <c r="B174" s="387"/>
      <c r="C174" s="387"/>
      <c r="D174" s="387"/>
    </row>
    <row r="175" spans="1:4" x14ac:dyDescent="0.2">
      <c r="A175" s="212" t="s">
        <v>112</v>
      </c>
      <c r="B175" s="387"/>
      <c r="C175" s="387"/>
      <c r="D175" s="387"/>
    </row>
    <row r="176" spans="1:4" x14ac:dyDescent="0.2">
      <c r="A176" s="212" t="s">
        <v>113</v>
      </c>
      <c r="B176" s="387"/>
      <c r="C176" s="387"/>
      <c r="D176" s="387"/>
    </row>
    <row r="177" spans="1:4" x14ac:dyDescent="0.2">
      <c r="A177" s="212" t="s">
        <v>114</v>
      </c>
      <c r="B177" s="387"/>
      <c r="C177" s="387">
        <v>386800</v>
      </c>
      <c r="D177" s="387">
        <v>72400</v>
      </c>
    </row>
    <row r="178" spans="1:4" x14ac:dyDescent="0.2">
      <c r="A178" s="212" t="s">
        <v>143</v>
      </c>
      <c r="B178" s="387"/>
      <c r="C178" s="387"/>
      <c r="D178" s="387"/>
    </row>
    <row r="179" spans="1:4" x14ac:dyDescent="0.2">
      <c r="A179" s="212" t="s">
        <v>144</v>
      </c>
      <c r="B179" s="387"/>
      <c r="C179" s="387"/>
      <c r="D179" s="387"/>
    </row>
    <row r="180" spans="1:4" x14ac:dyDescent="0.2">
      <c r="A180" s="215" t="s">
        <v>110</v>
      </c>
      <c r="B180" s="386">
        <f>SUM(B181:B184)</f>
        <v>0</v>
      </c>
      <c r="C180" s="386">
        <f t="shared" ref="C180:D180" si="30">SUM(C181:C184)</f>
        <v>0</v>
      </c>
      <c r="D180" s="386">
        <f t="shared" si="30"/>
        <v>0</v>
      </c>
    </row>
    <row r="181" spans="1:4" x14ac:dyDescent="0.2">
      <c r="A181" s="212" t="s">
        <v>142</v>
      </c>
      <c r="B181" s="387"/>
      <c r="C181" s="387"/>
      <c r="D181" s="387"/>
    </row>
    <row r="182" spans="1:4" x14ac:dyDescent="0.2">
      <c r="A182" s="212" t="s">
        <v>145</v>
      </c>
      <c r="B182" s="387"/>
      <c r="C182" s="387"/>
      <c r="D182" s="387"/>
    </row>
    <row r="183" spans="1:4" x14ac:dyDescent="0.2">
      <c r="A183" s="212" t="s">
        <v>119</v>
      </c>
      <c r="B183" s="387"/>
      <c r="C183" s="387"/>
      <c r="D183" s="387"/>
    </row>
    <row r="184" spans="1:4" x14ac:dyDescent="0.2">
      <c r="A184" s="212" t="s">
        <v>120</v>
      </c>
      <c r="B184" s="387"/>
      <c r="C184" s="387"/>
      <c r="D184" s="387"/>
    </row>
    <row r="185" spans="1:4" x14ac:dyDescent="0.2">
      <c r="A185" s="215" t="s">
        <v>99</v>
      </c>
      <c r="B185" s="386">
        <f>+B186</f>
        <v>0</v>
      </c>
      <c r="C185" s="386">
        <f t="shared" ref="C185:D185" si="31">+C186</f>
        <v>0</v>
      </c>
      <c r="D185" s="386">
        <f t="shared" si="31"/>
        <v>0</v>
      </c>
    </row>
    <row r="186" spans="1:4" x14ac:dyDescent="0.2">
      <c r="A186" s="212" t="s">
        <v>121</v>
      </c>
      <c r="B186" s="387"/>
      <c r="C186" s="387"/>
      <c r="D186" s="387"/>
    </row>
    <row r="187" spans="1:4" x14ac:dyDescent="0.2">
      <c r="A187" s="217" t="s">
        <v>327</v>
      </c>
      <c r="B187" s="389">
        <f>+B173+B180+B185</f>
        <v>0</v>
      </c>
      <c r="C187" s="389">
        <f t="shared" ref="C187:D187" si="32">+C173+C180+C185</f>
        <v>386800</v>
      </c>
      <c r="D187" s="389">
        <f t="shared" si="32"/>
        <v>72400</v>
      </c>
    </row>
    <row r="189" spans="1:4" ht="38.25" x14ac:dyDescent="0.2">
      <c r="A189" s="222" t="s">
        <v>471</v>
      </c>
      <c r="B189" s="223">
        <v>2019</v>
      </c>
      <c r="C189" s="223">
        <v>2020</v>
      </c>
      <c r="D189" s="223">
        <v>2021</v>
      </c>
    </row>
    <row r="190" spans="1:4" x14ac:dyDescent="0.2">
      <c r="A190" s="215" t="s">
        <v>122</v>
      </c>
      <c r="B190" s="386">
        <f>SUM(B191:B196)</f>
        <v>59151062</v>
      </c>
      <c r="C190" s="386">
        <f t="shared" ref="C190:D190" si="33">SUM(C191:C196)</f>
        <v>59979712</v>
      </c>
      <c r="D190" s="386">
        <f t="shared" si="33"/>
        <v>72400</v>
      </c>
    </row>
    <row r="191" spans="1:4" x14ac:dyDescent="0.2">
      <c r="A191" s="212" t="s">
        <v>111</v>
      </c>
      <c r="B191" s="387"/>
      <c r="C191" s="387"/>
      <c r="D191" s="387"/>
    </row>
    <row r="192" spans="1:4" x14ac:dyDescent="0.2">
      <c r="A192" s="212" t="s">
        <v>112</v>
      </c>
      <c r="B192" s="387"/>
      <c r="C192" s="387"/>
      <c r="D192" s="387"/>
    </row>
    <row r="193" spans="1:6" x14ac:dyDescent="0.2">
      <c r="A193" s="212" t="s">
        <v>113</v>
      </c>
      <c r="B193" s="387"/>
      <c r="C193" s="387">
        <v>23400</v>
      </c>
      <c r="D193" s="387"/>
      <c r="F193">
        <f>+C193*0.8</f>
        <v>18720</v>
      </c>
    </row>
    <row r="194" spans="1:6" x14ac:dyDescent="0.2">
      <c r="A194" s="212" t="s">
        <v>114</v>
      </c>
      <c r="B194" s="387">
        <v>59151062</v>
      </c>
      <c r="C194" s="387">
        <v>59956312</v>
      </c>
      <c r="D194" s="387">
        <v>72400</v>
      </c>
      <c r="F194">
        <f>+C194*0.8</f>
        <v>47965049.600000001</v>
      </c>
    </row>
    <row r="195" spans="1:6" x14ac:dyDescent="0.2">
      <c r="A195" s="212" t="s">
        <v>143</v>
      </c>
      <c r="B195" s="387"/>
      <c r="C195" s="387"/>
      <c r="D195" s="387"/>
    </row>
    <row r="196" spans="1:6" x14ac:dyDescent="0.2">
      <c r="A196" s="212" t="s">
        <v>144</v>
      </c>
      <c r="B196" s="387"/>
      <c r="C196" s="387"/>
      <c r="D196" s="387"/>
    </row>
    <row r="197" spans="1:6" x14ac:dyDescent="0.2">
      <c r="A197" s="215" t="s">
        <v>110</v>
      </c>
      <c r="B197" s="386">
        <f>SUM(B198:B201)</f>
        <v>2868964</v>
      </c>
      <c r="C197" s="386">
        <f t="shared" ref="C197:D197" si="34">SUM(C198:C201)</f>
        <v>1680631</v>
      </c>
      <c r="D197" s="386">
        <f t="shared" si="34"/>
        <v>0</v>
      </c>
    </row>
    <row r="198" spans="1:6" x14ac:dyDescent="0.2">
      <c r="A198" s="212" t="s">
        <v>142</v>
      </c>
      <c r="B198" s="387"/>
      <c r="C198" s="387"/>
      <c r="D198" s="387"/>
    </row>
    <row r="199" spans="1:6" x14ac:dyDescent="0.2">
      <c r="A199" s="212" t="s">
        <v>145</v>
      </c>
      <c r="B199" s="387"/>
      <c r="C199" s="387"/>
      <c r="D199" s="387"/>
    </row>
    <row r="200" spans="1:6" x14ac:dyDescent="0.2">
      <c r="A200" s="212" t="s">
        <v>119</v>
      </c>
      <c r="B200" s="387">
        <v>2868964</v>
      </c>
      <c r="C200" s="387">
        <v>1680631</v>
      </c>
      <c r="D200" s="387"/>
      <c r="F200">
        <f>+C200*0.8</f>
        <v>1344504.8</v>
      </c>
    </row>
    <row r="201" spans="1:6" x14ac:dyDescent="0.2">
      <c r="A201" s="212" t="s">
        <v>120</v>
      </c>
      <c r="B201" s="387"/>
      <c r="C201" s="387"/>
      <c r="D201" s="387"/>
    </row>
    <row r="202" spans="1:6" x14ac:dyDescent="0.2">
      <c r="A202" s="215" t="s">
        <v>99</v>
      </c>
      <c r="B202" s="386">
        <f>+B203</f>
        <v>0</v>
      </c>
      <c r="C202" s="386">
        <f t="shared" ref="C202:D202" si="35">+C203</f>
        <v>0</v>
      </c>
      <c r="D202" s="386">
        <f t="shared" si="35"/>
        <v>0</v>
      </c>
    </row>
    <row r="203" spans="1:6" x14ac:dyDescent="0.2">
      <c r="A203" s="212" t="s">
        <v>121</v>
      </c>
      <c r="B203" s="387"/>
      <c r="C203" s="387"/>
      <c r="D203" s="387"/>
    </row>
    <row r="204" spans="1:6" x14ac:dyDescent="0.2">
      <c r="A204" s="217" t="s">
        <v>328</v>
      </c>
      <c r="B204" s="389">
        <f>+B190+B197+B202</f>
        <v>62020026</v>
      </c>
      <c r="C204" s="389">
        <f t="shared" ref="C204:D204" si="36">+C190+C197+C202</f>
        <v>61660343</v>
      </c>
      <c r="D204" s="389">
        <f t="shared" si="36"/>
        <v>72400</v>
      </c>
      <c r="F204">
        <f>+C204*0.8</f>
        <v>49328274.400000006</v>
      </c>
    </row>
    <row r="206" spans="1:6" ht="38.25" x14ac:dyDescent="0.2">
      <c r="A206" s="222" t="s">
        <v>472</v>
      </c>
      <c r="B206" s="223">
        <v>2019</v>
      </c>
      <c r="C206" s="223">
        <v>2020</v>
      </c>
      <c r="D206" s="223">
        <v>2021</v>
      </c>
    </row>
    <row r="207" spans="1:6" x14ac:dyDescent="0.2">
      <c r="A207" s="215" t="s">
        <v>122</v>
      </c>
      <c r="B207" s="386">
        <f>SUM(B208:B213)</f>
        <v>45388401.200000003</v>
      </c>
      <c r="C207" s="386">
        <f t="shared" ref="C207:D207" si="37">SUM(C208:C213)</f>
        <v>47983770</v>
      </c>
      <c r="D207" s="386">
        <f t="shared" si="37"/>
        <v>72400</v>
      </c>
    </row>
    <row r="208" spans="1:6" x14ac:dyDescent="0.2">
      <c r="A208" s="212" t="s">
        <v>111</v>
      </c>
      <c r="B208" s="387"/>
      <c r="C208" s="387"/>
      <c r="D208" s="387"/>
    </row>
    <row r="209" spans="1:4" x14ac:dyDescent="0.2">
      <c r="A209" s="212" t="s">
        <v>112</v>
      </c>
      <c r="B209" s="387"/>
      <c r="C209" s="387"/>
      <c r="D209" s="387"/>
    </row>
    <row r="210" spans="1:4" x14ac:dyDescent="0.2">
      <c r="A210" s="212" t="s">
        <v>113</v>
      </c>
      <c r="B210" s="387"/>
      <c r="C210" s="387">
        <v>18720</v>
      </c>
      <c r="D210" s="387"/>
    </row>
    <row r="211" spans="1:4" x14ac:dyDescent="0.2">
      <c r="A211" s="212" t="s">
        <v>114</v>
      </c>
      <c r="B211" s="387">
        <v>45388401.200000003</v>
      </c>
      <c r="C211" s="387">
        <v>47965050</v>
      </c>
      <c r="D211" s="387">
        <v>72400</v>
      </c>
    </row>
    <row r="212" spans="1:4" x14ac:dyDescent="0.2">
      <c r="A212" s="212" t="s">
        <v>143</v>
      </c>
      <c r="B212" s="387"/>
      <c r="C212" s="387"/>
      <c r="D212" s="387"/>
    </row>
    <row r="213" spans="1:4" x14ac:dyDescent="0.2">
      <c r="A213" s="212" t="s">
        <v>144</v>
      </c>
      <c r="B213" s="387"/>
      <c r="C213" s="387"/>
      <c r="D213" s="387"/>
    </row>
    <row r="214" spans="1:4" x14ac:dyDescent="0.2">
      <c r="A214" s="215" t="s">
        <v>110</v>
      </c>
      <c r="B214" s="386">
        <f>SUM(B215:B218)</f>
        <v>990366.28</v>
      </c>
      <c r="C214" s="386">
        <f t="shared" ref="C214:D214" si="38">SUM(C215:C218)</f>
        <v>1344505</v>
      </c>
      <c r="D214" s="386">
        <f t="shared" si="38"/>
        <v>0</v>
      </c>
    </row>
    <row r="215" spans="1:4" x14ac:dyDescent="0.2">
      <c r="A215" s="212" t="s">
        <v>142</v>
      </c>
      <c r="B215" s="387"/>
      <c r="C215" s="387"/>
      <c r="D215" s="387"/>
    </row>
    <row r="216" spans="1:4" x14ac:dyDescent="0.2">
      <c r="A216" s="212" t="s">
        <v>145</v>
      </c>
      <c r="B216" s="387"/>
      <c r="C216" s="387"/>
      <c r="D216" s="387"/>
    </row>
    <row r="217" spans="1:4" x14ac:dyDescent="0.2">
      <c r="A217" s="212" t="s">
        <v>119</v>
      </c>
      <c r="B217" s="387">
        <v>990366.28</v>
      </c>
      <c r="C217" s="387">
        <v>1344505</v>
      </c>
      <c r="D217" s="387"/>
    </row>
    <row r="218" spans="1:4" x14ac:dyDescent="0.2">
      <c r="A218" s="212" t="s">
        <v>120</v>
      </c>
      <c r="B218" s="387"/>
      <c r="C218" s="387"/>
      <c r="D218" s="387"/>
    </row>
    <row r="219" spans="1:4" x14ac:dyDescent="0.2">
      <c r="A219" s="215" t="s">
        <v>99</v>
      </c>
      <c r="B219" s="386">
        <f>+B220</f>
        <v>0</v>
      </c>
      <c r="C219" s="386">
        <f t="shared" ref="C219:D219" si="39">+C220</f>
        <v>0</v>
      </c>
      <c r="D219" s="386">
        <f t="shared" si="39"/>
        <v>0</v>
      </c>
    </row>
    <row r="220" spans="1:4" x14ac:dyDescent="0.2">
      <c r="A220" s="212" t="s">
        <v>121</v>
      </c>
      <c r="B220" s="387"/>
      <c r="C220" s="387"/>
      <c r="D220" s="387"/>
    </row>
    <row r="221" spans="1:4" x14ac:dyDescent="0.2">
      <c r="A221" s="217" t="s">
        <v>329</v>
      </c>
      <c r="B221" s="389">
        <f>+B207+B214+B219</f>
        <v>46378767.480000004</v>
      </c>
      <c r="C221" s="389">
        <f t="shared" ref="C221:D221" si="40">+C207+C214+C219</f>
        <v>49328275</v>
      </c>
      <c r="D221" s="389">
        <f t="shared" si="40"/>
        <v>72400</v>
      </c>
    </row>
    <row r="222" spans="1:4" x14ac:dyDescent="0.2">
      <c r="A222" s="375" t="s">
        <v>402</v>
      </c>
    </row>
    <row r="223" spans="1:4" x14ac:dyDescent="0.2">
      <c r="A223" s="376" t="s">
        <v>403</v>
      </c>
    </row>
    <row r="229" spans="1:4" x14ac:dyDescent="0.2">
      <c r="A229" s="171" t="s">
        <v>404</v>
      </c>
    </row>
    <row r="230" spans="1:4" x14ac:dyDescent="0.2">
      <c r="A230" s="173" t="s">
        <v>460</v>
      </c>
    </row>
    <row r="231" spans="1:4" ht="38.25" x14ac:dyDescent="0.2">
      <c r="A231" s="222" t="s">
        <v>473</v>
      </c>
      <c r="B231" s="223">
        <v>2019</v>
      </c>
      <c r="C231" s="223">
        <v>2020</v>
      </c>
      <c r="D231" s="223">
        <v>2021</v>
      </c>
    </row>
    <row r="232" spans="1:4" x14ac:dyDescent="0.2">
      <c r="A232" s="215" t="s">
        <v>122</v>
      </c>
      <c r="B232" s="386">
        <f>SUM(B233:B238)</f>
        <v>170611160</v>
      </c>
      <c r="C232" s="386">
        <f t="shared" ref="C232:D232" si="41">SUM(C233:C238)</f>
        <v>160465519</v>
      </c>
      <c r="D232" s="386">
        <f t="shared" si="41"/>
        <v>148538060</v>
      </c>
    </row>
    <row r="233" spans="1:4" x14ac:dyDescent="0.2">
      <c r="A233" s="379" t="s">
        <v>111</v>
      </c>
      <c r="B233" s="387"/>
      <c r="C233" s="392"/>
      <c r="D233" s="387"/>
    </row>
    <row r="234" spans="1:4" x14ac:dyDescent="0.2">
      <c r="A234" s="379" t="s">
        <v>112</v>
      </c>
      <c r="B234" s="384">
        <v>39278530</v>
      </c>
      <c r="C234" s="380">
        <v>39278582</v>
      </c>
      <c r="D234" s="388">
        <v>39278579</v>
      </c>
    </row>
    <row r="235" spans="1:4" x14ac:dyDescent="0.2">
      <c r="A235" s="379" t="s">
        <v>113</v>
      </c>
      <c r="B235" s="385">
        <v>2214607</v>
      </c>
      <c r="C235" s="381">
        <v>2214610</v>
      </c>
      <c r="D235" s="388">
        <v>1992160</v>
      </c>
    </row>
    <row r="236" spans="1:4" x14ac:dyDescent="0.2">
      <c r="A236" s="379" t="s">
        <v>114</v>
      </c>
      <c r="B236" s="385">
        <v>113673691</v>
      </c>
      <c r="C236" s="381">
        <v>113453138</v>
      </c>
      <c r="D236" s="388">
        <v>104681825</v>
      </c>
    </row>
    <row r="237" spans="1:4" x14ac:dyDescent="0.2">
      <c r="A237" s="379" t="s">
        <v>143</v>
      </c>
      <c r="B237" s="393"/>
      <c r="C237" s="381"/>
      <c r="D237" s="394"/>
    </row>
    <row r="238" spans="1:4" x14ac:dyDescent="0.2">
      <c r="A238" s="379" t="s">
        <v>144</v>
      </c>
      <c r="B238" s="385">
        <v>15444332</v>
      </c>
      <c r="C238" s="381">
        <v>5519189</v>
      </c>
      <c r="D238" s="388">
        <v>2585496</v>
      </c>
    </row>
    <row r="239" spans="1:4" x14ac:dyDescent="0.2">
      <c r="A239" s="215" t="s">
        <v>110</v>
      </c>
      <c r="B239" s="395">
        <f>SUM(B240:B243)</f>
        <v>56898612</v>
      </c>
      <c r="C239" s="395">
        <f t="shared" ref="C239:D239" si="42">SUM(C240:C243)</f>
        <v>107440576</v>
      </c>
      <c r="D239" s="395">
        <f t="shared" si="42"/>
        <v>76694558</v>
      </c>
    </row>
    <row r="240" spans="1:4" x14ac:dyDescent="0.2">
      <c r="A240" s="212" t="s">
        <v>142</v>
      </c>
      <c r="B240" s="387"/>
      <c r="C240" s="387"/>
      <c r="D240" s="387"/>
    </row>
    <row r="241" spans="1:4" x14ac:dyDescent="0.2">
      <c r="A241" s="379" t="s">
        <v>145</v>
      </c>
      <c r="B241" s="393"/>
      <c r="C241" s="387"/>
      <c r="D241" s="394"/>
    </row>
    <row r="242" spans="1:4" x14ac:dyDescent="0.2">
      <c r="A242" s="379" t="s">
        <v>119</v>
      </c>
      <c r="B242" s="385">
        <v>56898612</v>
      </c>
      <c r="C242" s="381">
        <v>107440576</v>
      </c>
      <c r="D242" s="388">
        <v>76694558</v>
      </c>
    </row>
    <row r="243" spans="1:4" x14ac:dyDescent="0.2">
      <c r="A243" s="379" t="s">
        <v>120</v>
      </c>
      <c r="B243" s="393"/>
      <c r="C243" s="387"/>
      <c r="D243" s="394"/>
    </row>
    <row r="244" spans="1:4" x14ac:dyDescent="0.2">
      <c r="A244" s="382" t="s">
        <v>99</v>
      </c>
      <c r="B244" s="390">
        <f>+B245</f>
        <v>45239945</v>
      </c>
      <c r="C244" s="390">
        <f t="shared" ref="C244:D244" si="43">+C245</f>
        <v>31203546</v>
      </c>
      <c r="D244" s="386">
        <f t="shared" si="43"/>
        <v>30382531</v>
      </c>
    </row>
    <row r="245" spans="1:4" x14ac:dyDescent="0.2">
      <c r="A245" s="379" t="s">
        <v>121</v>
      </c>
      <c r="B245" s="385">
        <v>45239945</v>
      </c>
      <c r="C245" s="381">
        <v>31203546</v>
      </c>
      <c r="D245" s="388">
        <v>30382531</v>
      </c>
    </row>
    <row r="246" spans="1:4" x14ac:dyDescent="0.2">
      <c r="A246" s="217" t="s">
        <v>327</v>
      </c>
      <c r="B246" s="391">
        <f>+B232+B239+B244</f>
        <v>272749717</v>
      </c>
      <c r="C246" s="391">
        <f t="shared" ref="C246:D246" si="44">+C232+C239+C244</f>
        <v>299109641</v>
      </c>
      <c r="D246" s="389">
        <f t="shared" si="44"/>
        <v>255615149</v>
      </c>
    </row>
    <row r="248" spans="1:4" ht="38.25" x14ac:dyDescent="0.2">
      <c r="A248" s="222" t="s">
        <v>474</v>
      </c>
      <c r="B248" s="223">
        <v>2019</v>
      </c>
      <c r="C248" s="223">
        <v>2020</v>
      </c>
      <c r="D248" s="223">
        <v>2021</v>
      </c>
    </row>
    <row r="249" spans="1:4" x14ac:dyDescent="0.2">
      <c r="A249" s="215" t="s">
        <v>122</v>
      </c>
      <c r="B249" s="386">
        <f>SUM(B250:B255)</f>
        <v>177734307</v>
      </c>
      <c r="C249" s="386">
        <f t="shared" ref="C249:D249" si="45">SUM(C250:C255)</f>
        <v>171418057</v>
      </c>
      <c r="D249" s="386">
        <f t="shared" si="45"/>
        <v>148538060</v>
      </c>
    </row>
    <row r="250" spans="1:4" x14ac:dyDescent="0.2">
      <c r="A250" s="379" t="s">
        <v>111</v>
      </c>
      <c r="B250" s="387"/>
      <c r="C250" s="392"/>
      <c r="D250" s="387"/>
    </row>
    <row r="251" spans="1:4" x14ac:dyDescent="0.2">
      <c r="A251" s="379" t="s">
        <v>112</v>
      </c>
      <c r="B251" s="384">
        <v>39365534</v>
      </c>
      <c r="C251" s="380">
        <v>39060313</v>
      </c>
      <c r="D251" s="388">
        <v>39278579</v>
      </c>
    </row>
    <row r="252" spans="1:4" x14ac:dyDescent="0.2">
      <c r="A252" s="379" t="s">
        <v>113</v>
      </c>
      <c r="B252" s="385">
        <v>2215782</v>
      </c>
      <c r="C252" s="381">
        <v>2302178</v>
      </c>
      <c r="D252" s="388">
        <v>1992160</v>
      </c>
    </row>
    <row r="253" spans="1:4" x14ac:dyDescent="0.2">
      <c r="A253" s="379" t="s">
        <v>114</v>
      </c>
      <c r="B253" s="385">
        <v>128077419</v>
      </c>
      <c r="C253" s="381">
        <v>126304305</v>
      </c>
      <c r="D253" s="388">
        <v>104681825</v>
      </c>
    </row>
    <row r="254" spans="1:4" x14ac:dyDescent="0.2">
      <c r="A254" s="379" t="s">
        <v>143</v>
      </c>
      <c r="B254" s="385">
        <v>952645</v>
      </c>
      <c r="C254" s="381">
        <v>390723</v>
      </c>
      <c r="D254" s="394"/>
    </row>
    <row r="255" spans="1:4" x14ac:dyDescent="0.2">
      <c r="A255" s="379" t="s">
        <v>144</v>
      </c>
      <c r="B255" s="385">
        <v>7122927</v>
      </c>
      <c r="C255" s="381">
        <v>3360538</v>
      </c>
      <c r="D255" s="388">
        <v>2585496</v>
      </c>
    </row>
    <row r="256" spans="1:4" x14ac:dyDescent="0.2">
      <c r="A256" s="382" t="s">
        <v>110</v>
      </c>
      <c r="B256" s="386">
        <f>SUM(B257:B260)</f>
        <v>76793185</v>
      </c>
      <c r="C256" s="386">
        <f t="shared" ref="C256:D256" si="46">SUM(C257:C260)</f>
        <v>123633569</v>
      </c>
      <c r="D256" s="386">
        <f t="shared" si="46"/>
        <v>76694558</v>
      </c>
    </row>
    <row r="257" spans="1:4" x14ac:dyDescent="0.2">
      <c r="A257" s="379" t="s">
        <v>142</v>
      </c>
      <c r="B257" s="387"/>
      <c r="C257" s="394"/>
      <c r="D257" s="387"/>
    </row>
    <row r="258" spans="1:4" x14ac:dyDescent="0.2">
      <c r="A258" s="379" t="s">
        <v>145</v>
      </c>
      <c r="B258" s="393"/>
      <c r="C258" s="387"/>
      <c r="D258" s="394"/>
    </row>
    <row r="259" spans="1:4" x14ac:dyDescent="0.2">
      <c r="A259" s="379" t="s">
        <v>119</v>
      </c>
      <c r="B259" s="385">
        <v>76793185</v>
      </c>
      <c r="C259" s="381">
        <v>123633569</v>
      </c>
      <c r="D259" s="388">
        <v>76694558</v>
      </c>
    </row>
    <row r="260" spans="1:4" x14ac:dyDescent="0.2">
      <c r="A260" s="379" t="s">
        <v>120</v>
      </c>
      <c r="B260" s="393"/>
      <c r="C260" s="387"/>
      <c r="D260" s="394"/>
    </row>
    <row r="261" spans="1:4" x14ac:dyDescent="0.2">
      <c r="A261" s="382" t="s">
        <v>99</v>
      </c>
      <c r="B261" s="390">
        <f>+B262</f>
        <v>33921660</v>
      </c>
      <c r="C261" s="386">
        <f>+C262</f>
        <v>31203546</v>
      </c>
      <c r="D261" s="396">
        <f>+D262</f>
        <v>30382531</v>
      </c>
    </row>
    <row r="262" spans="1:4" x14ac:dyDescent="0.2">
      <c r="A262" s="379" t="s">
        <v>121</v>
      </c>
      <c r="B262" s="385">
        <v>33921660</v>
      </c>
      <c r="C262" s="381">
        <v>31203546</v>
      </c>
      <c r="D262" s="388">
        <v>30382531</v>
      </c>
    </row>
    <row r="263" spans="1:4" x14ac:dyDescent="0.2">
      <c r="A263" s="217" t="s">
        <v>328</v>
      </c>
      <c r="B263" s="391">
        <f>+B249+B256+B261</f>
        <v>288449152</v>
      </c>
      <c r="C263" s="391">
        <f t="shared" ref="C263:D263" si="47">+C249+C256+C261</f>
        <v>326255172</v>
      </c>
      <c r="D263" s="391">
        <f t="shared" si="47"/>
        <v>255615149</v>
      </c>
    </row>
    <row r="265" spans="1:4" ht="38.25" x14ac:dyDescent="0.2">
      <c r="A265" s="222" t="s">
        <v>475</v>
      </c>
      <c r="B265" s="223">
        <v>2019</v>
      </c>
      <c r="C265" s="223">
        <v>2020</v>
      </c>
      <c r="D265" s="223">
        <v>2021</v>
      </c>
    </row>
    <row r="266" spans="1:4" x14ac:dyDescent="0.2">
      <c r="A266" s="382" t="s">
        <v>122</v>
      </c>
      <c r="B266" s="386">
        <f>SUM(B267:B272)</f>
        <v>124918694.17</v>
      </c>
      <c r="C266" s="386">
        <f t="shared" ref="C266:D266" si="48">SUM(C267:C272)</f>
        <v>171418057</v>
      </c>
      <c r="D266" s="386">
        <f t="shared" si="48"/>
        <v>148538060</v>
      </c>
    </row>
    <row r="267" spans="1:4" x14ac:dyDescent="0.2">
      <c r="A267" s="379" t="s">
        <v>111</v>
      </c>
      <c r="B267" s="387"/>
      <c r="C267" s="392"/>
      <c r="D267" s="387"/>
    </row>
    <row r="268" spans="1:4" x14ac:dyDescent="0.2">
      <c r="A268" s="379" t="s">
        <v>112</v>
      </c>
      <c r="B268" s="384">
        <v>36487351.369999997</v>
      </c>
      <c r="C268" s="380">
        <v>39060313</v>
      </c>
      <c r="D268" s="388">
        <v>39278579</v>
      </c>
    </row>
    <row r="269" spans="1:4" x14ac:dyDescent="0.2">
      <c r="A269" s="379" t="s">
        <v>113</v>
      </c>
      <c r="B269" s="385">
        <v>1375063.43</v>
      </c>
      <c r="C269" s="381">
        <v>2302178</v>
      </c>
      <c r="D269" s="388">
        <v>1992160</v>
      </c>
    </row>
    <row r="270" spans="1:4" x14ac:dyDescent="0.2">
      <c r="A270" s="379" t="s">
        <v>114</v>
      </c>
      <c r="B270" s="385">
        <v>79621544.640000001</v>
      </c>
      <c r="C270" s="381">
        <v>126304305</v>
      </c>
      <c r="D270" s="388">
        <v>104681825</v>
      </c>
    </row>
    <row r="271" spans="1:4" x14ac:dyDescent="0.2">
      <c r="A271" s="379" t="s">
        <v>143</v>
      </c>
      <c r="B271" s="385">
        <v>952644.37</v>
      </c>
      <c r="C271" s="381">
        <v>390723</v>
      </c>
      <c r="D271" s="394"/>
    </row>
    <row r="272" spans="1:4" x14ac:dyDescent="0.2">
      <c r="A272" s="379" t="s">
        <v>144</v>
      </c>
      <c r="B272" s="385">
        <v>6482090.3600000003</v>
      </c>
      <c r="C272" s="381">
        <v>3360538</v>
      </c>
      <c r="D272" s="388">
        <v>2585496</v>
      </c>
    </row>
    <row r="273" spans="1:4" x14ac:dyDescent="0.2">
      <c r="A273" s="382" t="s">
        <v>110</v>
      </c>
      <c r="B273" s="386">
        <f>SUM(B274:B277)</f>
        <v>20789039.75</v>
      </c>
      <c r="C273" s="386">
        <f t="shared" ref="C273:D273" si="49">SUM(C274:C277)</f>
        <v>123633569</v>
      </c>
      <c r="D273" s="386">
        <f t="shared" si="49"/>
        <v>76694558</v>
      </c>
    </row>
    <row r="274" spans="1:4" x14ac:dyDescent="0.2">
      <c r="A274" s="379" t="s">
        <v>142</v>
      </c>
      <c r="B274" s="387"/>
      <c r="C274" s="394"/>
      <c r="D274" s="387"/>
    </row>
    <row r="275" spans="1:4" x14ac:dyDescent="0.2">
      <c r="A275" s="379" t="s">
        <v>145</v>
      </c>
      <c r="B275" s="393"/>
      <c r="C275" s="387"/>
      <c r="D275" s="394"/>
    </row>
    <row r="276" spans="1:4" x14ac:dyDescent="0.2">
      <c r="A276" s="379" t="s">
        <v>119</v>
      </c>
      <c r="B276" s="385">
        <v>20789039.75</v>
      </c>
      <c r="C276" s="381">
        <v>123633569</v>
      </c>
      <c r="D276" s="388">
        <v>76694558</v>
      </c>
    </row>
    <row r="277" spans="1:4" x14ac:dyDescent="0.2">
      <c r="A277" s="379" t="s">
        <v>120</v>
      </c>
      <c r="B277" s="393"/>
      <c r="C277" s="387"/>
      <c r="D277" s="387"/>
    </row>
    <row r="278" spans="1:4" x14ac:dyDescent="0.2">
      <c r="A278" s="382" t="s">
        <v>99</v>
      </c>
      <c r="B278" s="390">
        <f>+B279</f>
        <v>31730073.300000001</v>
      </c>
      <c r="C278" s="390">
        <f t="shared" ref="C278:D278" si="50">+C279</f>
        <v>31203546</v>
      </c>
      <c r="D278" s="386">
        <f t="shared" si="50"/>
        <v>30382531</v>
      </c>
    </row>
    <row r="279" spans="1:4" x14ac:dyDescent="0.2">
      <c r="A279" s="379" t="s">
        <v>121</v>
      </c>
      <c r="B279" s="385">
        <v>31730073.300000001</v>
      </c>
      <c r="C279" s="381">
        <v>31203546</v>
      </c>
      <c r="D279" s="388">
        <v>30382531</v>
      </c>
    </row>
    <row r="280" spans="1:4" x14ac:dyDescent="0.2">
      <c r="A280" s="383" t="s">
        <v>329</v>
      </c>
      <c r="B280" s="389">
        <f>+B266+B273+B278</f>
        <v>177437807.22000003</v>
      </c>
      <c r="C280" s="389">
        <f t="shared" ref="C280:D280" si="51">+C266+C273+C278</f>
        <v>326255172</v>
      </c>
      <c r="D280" s="389">
        <f t="shared" si="51"/>
        <v>255615149</v>
      </c>
    </row>
    <row r="281" spans="1:4" x14ac:dyDescent="0.2">
      <c r="A281" s="375" t="s">
        <v>402</v>
      </c>
    </row>
    <row r="282" spans="1:4" x14ac:dyDescent="0.2">
      <c r="A282" s="376" t="s">
        <v>403</v>
      </c>
    </row>
  </sheetData>
  <pageMargins left="0.70866141732283472" right="0.51181102362204722" top="0.74803149606299213" bottom="0.74803149606299213" header="0.31496062992125984" footer="0.31496062992125984"/>
  <pageSetup paperSize="9" scale="56" fitToHeight="3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4"/>
  </sheetPr>
  <dimension ref="A1:W85"/>
  <sheetViews>
    <sheetView view="pageLayout" topLeftCell="B2" zoomScaleNormal="100" zoomScaleSheetLayoutView="100" workbookViewId="0">
      <selection activeCell="D6" sqref="D6"/>
    </sheetView>
  </sheetViews>
  <sheetFormatPr baseColWidth="10" defaultColWidth="11.28515625" defaultRowHeight="11.25" x14ac:dyDescent="0.2"/>
  <cols>
    <col min="1" max="1" width="22" style="183" customWidth="1"/>
    <col min="2" max="2" width="33.7109375" style="183" customWidth="1"/>
    <col min="3" max="3" width="2.85546875" style="183" customWidth="1"/>
    <col min="4" max="4" width="10" style="183" customWidth="1"/>
    <col min="5" max="5" width="9.42578125" style="183" customWidth="1"/>
    <col min="6" max="6" width="9.7109375" style="183" customWidth="1"/>
    <col min="7" max="7" width="4.140625" style="183" customWidth="1"/>
    <col min="8" max="8" width="7.5703125" style="183" customWidth="1"/>
    <col min="9" max="9" width="10.140625" style="183" customWidth="1"/>
    <col min="10" max="10" width="3.7109375" style="183" customWidth="1"/>
    <col min="11" max="11" width="2.42578125" style="183" customWidth="1"/>
    <col min="12" max="12" width="8.7109375" style="183" customWidth="1"/>
    <col min="13" max="13" width="3.7109375" style="183" customWidth="1"/>
    <col min="14" max="14" width="9" style="183" customWidth="1"/>
    <col min="15" max="15" width="2.140625" style="183" customWidth="1"/>
    <col min="16" max="16" width="9.7109375" style="183" customWidth="1"/>
    <col min="17" max="17" width="10.85546875" style="183" customWidth="1"/>
    <col min="18" max="18" width="6.28515625" style="183" customWidth="1"/>
    <col min="19" max="16384" width="11.28515625" style="183"/>
  </cols>
  <sheetData>
    <row r="1" spans="1:23" s="182" customFormat="1" x14ac:dyDescent="0.2">
      <c r="A1" s="171" t="s">
        <v>405</v>
      </c>
      <c r="B1" s="171"/>
      <c r="C1" s="279"/>
      <c r="D1" s="279"/>
      <c r="E1" s="279"/>
      <c r="F1" s="279"/>
      <c r="G1" s="279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23" s="182" customFormat="1" ht="12" thickBot="1" x14ac:dyDescent="0.25">
      <c r="A2" s="173" t="s">
        <v>460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81"/>
      <c r="T2" s="181"/>
      <c r="U2" s="181"/>
      <c r="V2" s="181"/>
      <c r="W2" s="181"/>
    </row>
    <row r="3" spans="1:23" s="187" customFormat="1" ht="28.35" customHeight="1" thickBot="1" x14ac:dyDescent="0.25">
      <c r="A3" s="1434" t="s">
        <v>8</v>
      </c>
      <c r="B3" s="1434" t="s">
        <v>284</v>
      </c>
      <c r="C3" s="1436" t="s">
        <v>122</v>
      </c>
      <c r="D3" s="1437"/>
      <c r="E3" s="1437"/>
      <c r="F3" s="1437"/>
      <c r="G3" s="1437"/>
      <c r="H3" s="1437"/>
      <c r="I3" s="1438"/>
      <c r="J3" s="1436" t="s">
        <v>110</v>
      </c>
      <c r="K3" s="1437"/>
      <c r="L3" s="1437"/>
      <c r="M3" s="1437"/>
      <c r="N3" s="1438"/>
      <c r="O3" s="1436" t="s">
        <v>99</v>
      </c>
      <c r="P3" s="1438"/>
      <c r="Q3" s="1436" t="s">
        <v>0</v>
      </c>
      <c r="R3" s="1438"/>
    </row>
    <row r="4" spans="1:23" s="188" customFormat="1" ht="109.5" customHeight="1" thickBot="1" x14ac:dyDescent="0.25">
      <c r="A4" s="1435"/>
      <c r="B4" s="1435"/>
      <c r="C4" s="281" t="s">
        <v>111</v>
      </c>
      <c r="D4" s="417" t="s">
        <v>112</v>
      </c>
      <c r="E4" s="417" t="s">
        <v>113</v>
      </c>
      <c r="F4" s="417" t="s">
        <v>114</v>
      </c>
      <c r="G4" s="417" t="s">
        <v>115</v>
      </c>
      <c r="H4" s="417" t="s">
        <v>116</v>
      </c>
      <c r="I4" s="283" t="s">
        <v>107</v>
      </c>
      <c r="J4" s="281" t="s">
        <v>117</v>
      </c>
      <c r="K4" s="282" t="s">
        <v>118</v>
      </c>
      <c r="L4" s="417" t="s">
        <v>119</v>
      </c>
      <c r="M4" s="417" t="s">
        <v>120</v>
      </c>
      <c r="N4" s="283" t="s">
        <v>108</v>
      </c>
      <c r="O4" s="281" t="s">
        <v>121</v>
      </c>
      <c r="P4" s="283" t="s">
        <v>109</v>
      </c>
      <c r="Q4" s="284" t="s">
        <v>146</v>
      </c>
      <c r="R4" s="285" t="s">
        <v>97</v>
      </c>
    </row>
    <row r="5" spans="1:23" x14ac:dyDescent="0.2">
      <c r="A5" s="1439" t="s">
        <v>488</v>
      </c>
      <c r="B5" s="286" t="s">
        <v>478</v>
      </c>
      <c r="C5" s="401"/>
      <c r="D5" s="420">
        <v>3231295</v>
      </c>
      <c r="E5" s="420">
        <v>186672</v>
      </c>
      <c r="F5" s="420">
        <v>12392522</v>
      </c>
      <c r="G5" s="406"/>
      <c r="H5" s="420">
        <v>64391</v>
      </c>
      <c r="I5" s="404">
        <f>+C5+D5+E5+F5+G5+H5</f>
        <v>15874880</v>
      </c>
      <c r="J5" s="401"/>
      <c r="K5" s="403"/>
      <c r="L5" s="420">
        <v>2897</v>
      </c>
      <c r="M5" s="406"/>
      <c r="N5" s="404">
        <f>+J5+K5+L5+M5</f>
        <v>2897</v>
      </c>
      <c r="O5" s="401"/>
      <c r="P5" s="404">
        <f>+O5</f>
        <v>0</v>
      </c>
      <c r="Q5" s="401">
        <f>+I5+N5</f>
        <v>15877777</v>
      </c>
      <c r="R5" s="289">
        <f>+(Q5/Q15)*100</f>
        <v>2.2344467858039163</v>
      </c>
    </row>
    <row r="6" spans="1:23" x14ac:dyDescent="0.2">
      <c r="A6" s="1440"/>
      <c r="B6" s="290" t="s">
        <v>480</v>
      </c>
      <c r="C6" s="405"/>
      <c r="D6" s="420">
        <v>184393466</v>
      </c>
      <c r="E6" s="420">
        <v>43444018</v>
      </c>
      <c r="F6" s="420">
        <v>9615039</v>
      </c>
      <c r="G6" s="406"/>
      <c r="H6" s="420">
        <v>35581</v>
      </c>
      <c r="I6" s="404">
        <f t="shared" ref="I6:I14" si="0">+C6+D6+E6+F6+G6+H6</f>
        <v>237488104</v>
      </c>
      <c r="J6" s="405"/>
      <c r="K6" s="406"/>
      <c r="L6" s="406"/>
      <c r="M6" s="406"/>
      <c r="N6" s="404">
        <f t="shared" ref="N6:N14" si="1">+J6+K6+L6+M6</f>
        <v>0</v>
      </c>
      <c r="O6" s="405"/>
      <c r="P6" s="404">
        <f t="shared" ref="P6:P14" si="2">+O6</f>
        <v>0</v>
      </c>
      <c r="Q6" s="401">
        <f t="shared" ref="Q6:Q14" si="3">+I6+N6</f>
        <v>237488104</v>
      </c>
      <c r="R6" s="289">
        <f>+(Q6/Q15)*100</f>
        <v>33.421210705344087</v>
      </c>
    </row>
    <row r="7" spans="1:23" x14ac:dyDescent="0.2">
      <c r="A7" s="1440"/>
      <c r="B7" s="290" t="s">
        <v>479</v>
      </c>
      <c r="C7" s="407"/>
      <c r="D7" s="420">
        <v>5347351</v>
      </c>
      <c r="E7" s="420">
        <v>131298</v>
      </c>
      <c r="F7" s="420">
        <v>2817983</v>
      </c>
      <c r="G7" s="408"/>
      <c r="H7" s="420">
        <v>6090</v>
      </c>
      <c r="I7" s="404">
        <f t="shared" si="0"/>
        <v>8302722</v>
      </c>
      <c r="J7" s="407"/>
      <c r="K7" s="410"/>
      <c r="L7" s="410"/>
      <c r="M7" s="410"/>
      <c r="N7" s="404">
        <f t="shared" si="1"/>
        <v>0</v>
      </c>
      <c r="O7" s="407"/>
      <c r="P7" s="404">
        <f t="shared" si="2"/>
        <v>0</v>
      </c>
      <c r="Q7" s="401">
        <f t="shared" si="3"/>
        <v>8302722</v>
      </c>
      <c r="R7" s="289">
        <f>+(Q7/Q15)*100</f>
        <v>1.1684249304120762</v>
      </c>
    </row>
    <row r="8" spans="1:23" x14ac:dyDescent="0.2">
      <c r="A8" s="1440"/>
      <c r="B8" s="290" t="s">
        <v>481</v>
      </c>
      <c r="C8" s="407"/>
      <c r="D8" s="420">
        <v>119596681</v>
      </c>
      <c r="E8" s="420">
        <v>670399</v>
      </c>
      <c r="F8" s="420">
        <v>6088756</v>
      </c>
      <c r="G8" s="408"/>
      <c r="H8" s="420">
        <v>12732</v>
      </c>
      <c r="I8" s="404">
        <f t="shared" si="0"/>
        <v>126368568</v>
      </c>
      <c r="J8" s="407"/>
      <c r="K8" s="410"/>
      <c r="L8" s="410"/>
      <c r="M8" s="410"/>
      <c r="N8" s="404">
        <f t="shared" si="1"/>
        <v>0</v>
      </c>
      <c r="O8" s="407"/>
      <c r="P8" s="404">
        <f t="shared" si="2"/>
        <v>0</v>
      </c>
      <c r="Q8" s="401">
        <f t="shared" si="3"/>
        <v>126368568</v>
      </c>
      <c r="R8" s="289">
        <f>+(Q8/Q15)*100</f>
        <v>17.783587752507398</v>
      </c>
    </row>
    <row r="9" spans="1:23" ht="22.5" x14ac:dyDescent="0.2">
      <c r="A9" s="1440"/>
      <c r="B9" s="427" t="s">
        <v>482</v>
      </c>
      <c r="C9" s="405"/>
      <c r="D9" s="420">
        <v>831177</v>
      </c>
      <c r="E9" s="406"/>
      <c r="F9" s="420">
        <v>2071718</v>
      </c>
      <c r="G9" s="406"/>
      <c r="H9" s="406"/>
      <c r="I9" s="404">
        <f t="shared" si="0"/>
        <v>2902895</v>
      </c>
      <c r="J9" s="405"/>
      <c r="K9" s="406"/>
      <c r="L9" s="406"/>
      <c r="M9" s="406"/>
      <c r="N9" s="404">
        <f t="shared" si="1"/>
        <v>0</v>
      </c>
      <c r="O9" s="405"/>
      <c r="P9" s="404">
        <f t="shared" si="2"/>
        <v>0</v>
      </c>
      <c r="Q9" s="401">
        <f t="shared" si="3"/>
        <v>2902895</v>
      </c>
      <c r="R9" s="289">
        <f>+(Q9/Q15)*100</f>
        <v>0.40851842183425674</v>
      </c>
    </row>
    <row r="10" spans="1:23" x14ac:dyDescent="0.2">
      <c r="A10" s="1440"/>
      <c r="B10" s="290" t="s">
        <v>483</v>
      </c>
      <c r="C10" s="411"/>
      <c r="D10" s="420">
        <v>77373942</v>
      </c>
      <c r="E10" s="420">
        <v>1064973</v>
      </c>
      <c r="F10" s="420">
        <v>37490952</v>
      </c>
      <c r="G10" s="412"/>
      <c r="H10" s="412"/>
      <c r="I10" s="404">
        <f t="shared" si="0"/>
        <v>115929867</v>
      </c>
      <c r="J10" s="411"/>
      <c r="K10" s="412"/>
      <c r="L10" s="420">
        <v>112000</v>
      </c>
      <c r="M10" s="412"/>
      <c r="N10" s="404">
        <f t="shared" si="1"/>
        <v>112000</v>
      </c>
      <c r="O10" s="411"/>
      <c r="P10" s="404">
        <f t="shared" si="2"/>
        <v>0</v>
      </c>
      <c r="Q10" s="401">
        <f t="shared" si="3"/>
        <v>116041867</v>
      </c>
      <c r="R10" s="289">
        <f>+(Q10/Q15)*100</f>
        <v>16.330332434876464</v>
      </c>
    </row>
    <row r="11" spans="1:23" s="221" customFormat="1" x14ac:dyDescent="0.2">
      <c r="A11" s="1440"/>
      <c r="B11" s="290" t="s">
        <v>484</v>
      </c>
      <c r="C11" s="411"/>
      <c r="D11" s="420">
        <v>91309818</v>
      </c>
      <c r="E11" s="420">
        <v>18572411</v>
      </c>
      <c r="F11" s="420">
        <v>18575866</v>
      </c>
      <c r="G11" s="412"/>
      <c r="H11" s="420">
        <v>10387</v>
      </c>
      <c r="I11" s="404">
        <f t="shared" si="0"/>
        <v>128468482</v>
      </c>
      <c r="J11" s="411"/>
      <c r="K11" s="412"/>
      <c r="L11" s="420">
        <v>1183200</v>
      </c>
      <c r="M11" s="412"/>
      <c r="N11" s="404">
        <f t="shared" si="1"/>
        <v>1183200</v>
      </c>
      <c r="O11" s="411"/>
      <c r="P11" s="404">
        <f t="shared" si="2"/>
        <v>0</v>
      </c>
      <c r="Q11" s="401">
        <f t="shared" si="3"/>
        <v>129651682</v>
      </c>
      <c r="R11" s="289">
        <f>+(Q11/Q15)*100</f>
        <v>18.245613609447435</v>
      </c>
    </row>
    <row r="12" spans="1:23" s="221" customFormat="1" x14ac:dyDescent="0.2">
      <c r="A12" s="1440"/>
      <c r="B12" s="290" t="s">
        <v>485</v>
      </c>
      <c r="C12" s="411"/>
      <c r="D12" s="420">
        <v>30222610</v>
      </c>
      <c r="E12" s="420">
        <v>172831</v>
      </c>
      <c r="F12" s="420">
        <v>13204638</v>
      </c>
      <c r="G12" s="412"/>
      <c r="H12" s="412"/>
      <c r="I12" s="404">
        <f t="shared" si="0"/>
        <v>43600079</v>
      </c>
      <c r="J12" s="411"/>
      <c r="K12" s="412"/>
      <c r="L12" s="420"/>
      <c r="M12" s="412"/>
      <c r="N12" s="404">
        <f t="shared" si="1"/>
        <v>0</v>
      </c>
      <c r="O12" s="411"/>
      <c r="P12" s="404">
        <f t="shared" si="2"/>
        <v>0</v>
      </c>
      <c r="Q12" s="401">
        <f t="shared" si="3"/>
        <v>43600079</v>
      </c>
      <c r="R12" s="289">
        <f>+(Q12/Q15)*100</f>
        <v>6.1357491280011569</v>
      </c>
    </row>
    <row r="13" spans="1:23" x14ac:dyDescent="0.2">
      <c r="A13" s="1440"/>
      <c r="B13" s="290" t="s">
        <v>486</v>
      </c>
      <c r="C13" s="411"/>
      <c r="D13" s="420">
        <v>15300866</v>
      </c>
      <c r="E13" s="420">
        <v>8400</v>
      </c>
      <c r="F13" s="420">
        <v>10399325</v>
      </c>
      <c r="G13" s="412"/>
      <c r="H13" s="412"/>
      <c r="I13" s="404">
        <f t="shared" si="0"/>
        <v>25708591</v>
      </c>
      <c r="J13" s="411"/>
      <c r="K13" s="412"/>
      <c r="L13" s="412"/>
      <c r="M13" s="412"/>
      <c r="N13" s="404">
        <f t="shared" si="1"/>
        <v>0</v>
      </c>
      <c r="O13" s="411"/>
      <c r="P13" s="404">
        <f t="shared" si="2"/>
        <v>0</v>
      </c>
      <c r="Q13" s="401">
        <f t="shared" si="3"/>
        <v>25708591</v>
      </c>
      <c r="R13" s="289">
        <f>+(Q13/Q15)*100</f>
        <v>3.6179169494254446</v>
      </c>
    </row>
    <row r="14" spans="1:23" ht="12" thickBot="1" x14ac:dyDescent="0.25">
      <c r="A14" s="1441"/>
      <c r="B14" s="300" t="s">
        <v>487</v>
      </c>
      <c r="C14" s="413"/>
      <c r="D14" s="402">
        <v>1319894</v>
      </c>
      <c r="E14" s="425"/>
      <c r="F14" s="402">
        <v>3328787</v>
      </c>
      <c r="G14" s="425"/>
      <c r="H14" s="425"/>
      <c r="I14" s="404">
        <f t="shared" si="0"/>
        <v>4648681</v>
      </c>
      <c r="J14" s="413"/>
      <c r="K14" s="414"/>
      <c r="L14" s="414"/>
      <c r="M14" s="414"/>
      <c r="N14" s="404">
        <f t="shared" si="1"/>
        <v>0</v>
      </c>
      <c r="O14" s="413"/>
      <c r="P14" s="404">
        <f t="shared" si="2"/>
        <v>0</v>
      </c>
      <c r="Q14" s="401">
        <f t="shared" si="3"/>
        <v>4648681</v>
      </c>
      <c r="R14" s="289">
        <f>+(Q14/Q15)*100</f>
        <v>0.65419928234775782</v>
      </c>
    </row>
    <row r="15" spans="1:23" ht="12" thickBot="1" x14ac:dyDescent="0.25">
      <c r="A15" s="304" t="s">
        <v>90</v>
      </c>
      <c r="B15" s="304" t="s">
        <v>90</v>
      </c>
      <c r="C15" s="415"/>
      <c r="D15" s="416">
        <f>SUM(D5:D14)</f>
        <v>528927100</v>
      </c>
      <c r="E15" s="416">
        <f t="shared" ref="E15:I15" si="4">SUM(E5:E14)</f>
        <v>64251002</v>
      </c>
      <c r="F15" s="416">
        <f t="shared" si="4"/>
        <v>115985586</v>
      </c>
      <c r="G15" s="416">
        <f t="shared" si="4"/>
        <v>0</v>
      </c>
      <c r="H15" s="416">
        <f t="shared" si="4"/>
        <v>129181</v>
      </c>
      <c r="I15" s="416">
        <f t="shared" si="4"/>
        <v>709292869</v>
      </c>
      <c r="J15" s="416">
        <f t="shared" ref="J15" si="5">SUM(J5:J14)</f>
        <v>0</v>
      </c>
      <c r="K15" s="416">
        <f t="shared" ref="K15" si="6">SUM(K5:K14)</f>
        <v>0</v>
      </c>
      <c r="L15" s="416">
        <f t="shared" ref="L15" si="7">SUM(L5:L14)</f>
        <v>1298097</v>
      </c>
      <c r="M15" s="416">
        <f t="shared" ref="M15" si="8">SUM(M5:M14)</f>
        <v>0</v>
      </c>
      <c r="N15" s="416">
        <f t="shared" ref="N15" si="9">SUM(N5:N14)</f>
        <v>1298097</v>
      </c>
      <c r="O15" s="416">
        <f t="shared" ref="O15" si="10">SUM(O5:O14)</f>
        <v>0</v>
      </c>
      <c r="P15" s="416">
        <f t="shared" ref="P15" si="11">SUM(P5:P14)</f>
        <v>0</v>
      </c>
      <c r="Q15" s="416">
        <f t="shared" ref="Q15:R15" si="12">SUM(Q5:Q14)</f>
        <v>710590966</v>
      </c>
      <c r="R15" s="306">
        <f t="shared" si="12"/>
        <v>100</v>
      </c>
    </row>
    <row r="16" spans="1:23" x14ac:dyDescent="0.2">
      <c r="A16" s="189"/>
      <c r="B16" s="189"/>
      <c r="C16" s="190"/>
      <c r="D16" s="191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18" s="221" customFormat="1" x14ac:dyDescent="0.2">
      <c r="A17" s="189"/>
      <c r="B17" s="189"/>
      <c r="C17" s="190"/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</row>
    <row r="18" spans="1:18" s="221" customFormat="1" x14ac:dyDescent="0.2">
      <c r="A18" s="189"/>
      <c r="B18" s="189"/>
      <c r="C18" s="190"/>
      <c r="D18" s="191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20" spans="1:18" x14ac:dyDescent="0.2">
      <c r="A20" s="171" t="s">
        <v>405</v>
      </c>
      <c r="B20" s="171"/>
      <c r="C20" s="279"/>
      <c r="D20" s="279"/>
      <c r="E20" s="279"/>
      <c r="F20" s="279"/>
      <c r="G20" s="279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</row>
    <row r="21" spans="1:18" ht="12" thickBot="1" x14ac:dyDescent="0.25">
      <c r="A21" s="173" t="s">
        <v>460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</row>
    <row r="22" spans="1:18" ht="12" thickBot="1" x14ac:dyDescent="0.25">
      <c r="A22" s="1434" t="s">
        <v>8</v>
      </c>
      <c r="B22" s="1434" t="s">
        <v>284</v>
      </c>
      <c r="C22" s="1436" t="s">
        <v>122</v>
      </c>
      <c r="D22" s="1437"/>
      <c r="E22" s="1437"/>
      <c r="F22" s="1437"/>
      <c r="G22" s="1437"/>
      <c r="H22" s="1437"/>
      <c r="I22" s="1438"/>
      <c r="J22" s="1436" t="s">
        <v>110</v>
      </c>
      <c r="K22" s="1437"/>
      <c r="L22" s="1437"/>
      <c r="M22" s="1437"/>
      <c r="N22" s="1438"/>
      <c r="O22" s="1436" t="s">
        <v>99</v>
      </c>
      <c r="P22" s="1438"/>
      <c r="Q22" s="1436" t="s">
        <v>0</v>
      </c>
      <c r="R22" s="1438"/>
    </row>
    <row r="23" spans="1:18" ht="161.25" thickBot="1" x14ac:dyDescent="0.25">
      <c r="A23" s="1435"/>
      <c r="B23" s="1435"/>
      <c r="C23" s="281" t="s">
        <v>111</v>
      </c>
      <c r="D23" s="417" t="s">
        <v>112</v>
      </c>
      <c r="E23" s="417" t="s">
        <v>113</v>
      </c>
      <c r="F23" s="417" t="s">
        <v>114</v>
      </c>
      <c r="G23" s="417" t="s">
        <v>115</v>
      </c>
      <c r="H23" s="417" t="s">
        <v>116</v>
      </c>
      <c r="I23" s="418" t="s">
        <v>107</v>
      </c>
      <c r="J23" s="419" t="s">
        <v>117</v>
      </c>
      <c r="K23" s="417" t="s">
        <v>118</v>
      </c>
      <c r="L23" s="417" t="s">
        <v>119</v>
      </c>
      <c r="M23" s="417" t="s">
        <v>120</v>
      </c>
      <c r="N23" s="418" t="s">
        <v>108</v>
      </c>
      <c r="O23" s="281" t="s">
        <v>121</v>
      </c>
      <c r="P23" s="283" t="s">
        <v>109</v>
      </c>
      <c r="Q23" s="284" t="s">
        <v>146</v>
      </c>
      <c r="R23" s="285" t="s">
        <v>97</v>
      </c>
    </row>
    <row r="24" spans="1:18" x14ac:dyDescent="0.2">
      <c r="A24" s="1442" t="s">
        <v>489</v>
      </c>
      <c r="B24" s="286" t="s">
        <v>478</v>
      </c>
      <c r="C24" s="287"/>
      <c r="D24" s="420"/>
      <c r="E24" s="420"/>
      <c r="F24" s="420">
        <v>127917</v>
      </c>
      <c r="G24" s="406"/>
      <c r="H24" s="420">
        <v>5050548</v>
      </c>
      <c r="I24" s="406">
        <f>+C24+D24+E24+F24+G24+H24</f>
        <v>5178465</v>
      </c>
      <c r="J24" s="406"/>
      <c r="K24" s="406"/>
      <c r="L24" s="420"/>
      <c r="M24" s="406"/>
      <c r="N24" s="406">
        <f>+J24+K24+L24+M24</f>
        <v>0</v>
      </c>
      <c r="O24" s="421"/>
      <c r="P24" s="288"/>
      <c r="Q24" s="287">
        <f>+I24+N24+P24</f>
        <v>5178465</v>
      </c>
      <c r="R24" s="289">
        <f>+(Q24/Q34)*100</f>
        <v>15.658641663147971</v>
      </c>
    </row>
    <row r="25" spans="1:18" x14ac:dyDescent="0.2">
      <c r="A25" s="1443"/>
      <c r="B25" s="290" t="s">
        <v>480</v>
      </c>
      <c r="C25" s="291"/>
      <c r="D25" s="420"/>
      <c r="E25" s="420"/>
      <c r="F25" s="420">
        <v>1584623</v>
      </c>
      <c r="G25" s="406"/>
      <c r="H25" s="420"/>
      <c r="I25" s="406">
        <f t="shared" ref="I25:I33" si="13">+C25+D25+E25+F25+G25+H25</f>
        <v>1584623</v>
      </c>
      <c r="J25" s="406"/>
      <c r="K25" s="406"/>
      <c r="L25" s="406"/>
      <c r="M25" s="406"/>
      <c r="N25" s="406">
        <f t="shared" ref="N25:N33" si="14">+J25+K25+L25+M25</f>
        <v>0</v>
      </c>
      <c r="O25" s="422"/>
      <c r="P25" s="292"/>
      <c r="Q25" s="287">
        <f t="shared" ref="Q25:Q33" si="15">+I25+N25+P25</f>
        <v>1584623</v>
      </c>
      <c r="R25" s="289">
        <f>+(Q25/Q34)*100</f>
        <v>4.7915827814193062</v>
      </c>
    </row>
    <row r="26" spans="1:18" x14ac:dyDescent="0.2">
      <c r="A26" s="1443"/>
      <c r="B26" s="290" t="s">
        <v>479</v>
      </c>
      <c r="C26" s="294"/>
      <c r="D26" s="420"/>
      <c r="E26" s="420"/>
      <c r="F26" s="420">
        <v>5644830</v>
      </c>
      <c r="G26" s="408"/>
      <c r="H26" s="420">
        <v>20000</v>
      </c>
      <c r="I26" s="406">
        <f t="shared" si="13"/>
        <v>5664830</v>
      </c>
      <c r="J26" s="410"/>
      <c r="K26" s="410"/>
      <c r="L26" s="410"/>
      <c r="M26" s="410"/>
      <c r="N26" s="406">
        <f t="shared" si="14"/>
        <v>0</v>
      </c>
      <c r="O26" s="423"/>
      <c r="P26" s="295"/>
      <c r="Q26" s="287">
        <f t="shared" si="15"/>
        <v>5664830</v>
      </c>
      <c r="R26" s="289">
        <f>+(Q26/Q34)*100</f>
        <v>17.129312074649636</v>
      </c>
    </row>
    <row r="27" spans="1:18" x14ac:dyDescent="0.2">
      <c r="A27" s="1443"/>
      <c r="B27" s="290" t="s">
        <v>481</v>
      </c>
      <c r="C27" s="294"/>
      <c r="D27" s="420"/>
      <c r="E27" s="420"/>
      <c r="F27" s="420">
        <v>180605</v>
      </c>
      <c r="G27" s="408"/>
      <c r="H27" s="420">
        <v>20000</v>
      </c>
      <c r="I27" s="406">
        <f t="shared" si="13"/>
        <v>200605</v>
      </c>
      <c r="J27" s="410"/>
      <c r="K27" s="410"/>
      <c r="L27" s="410"/>
      <c r="M27" s="410"/>
      <c r="N27" s="406">
        <f t="shared" si="14"/>
        <v>0</v>
      </c>
      <c r="O27" s="423"/>
      <c r="P27" s="295"/>
      <c r="Q27" s="287">
        <f t="shared" si="15"/>
        <v>200605</v>
      </c>
      <c r="R27" s="289">
        <f>+(Q27/Q34)*100</f>
        <v>0.60658936786012818</v>
      </c>
    </row>
    <row r="28" spans="1:18" ht="22.5" x14ac:dyDescent="0.2">
      <c r="A28" s="1443"/>
      <c r="B28" s="427" t="s">
        <v>482</v>
      </c>
      <c r="C28" s="291"/>
      <c r="D28" s="420"/>
      <c r="E28" s="406"/>
      <c r="F28" s="420"/>
      <c r="G28" s="406"/>
      <c r="H28" s="406"/>
      <c r="I28" s="406">
        <f t="shared" si="13"/>
        <v>0</v>
      </c>
      <c r="J28" s="406"/>
      <c r="K28" s="406"/>
      <c r="L28" s="406"/>
      <c r="M28" s="406"/>
      <c r="N28" s="406">
        <f t="shared" si="14"/>
        <v>0</v>
      </c>
      <c r="O28" s="422"/>
      <c r="P28" s="292"/>
      <c r="Q28" s="287">
        <f t="shared" si="15"/>
        <v>0</v>
      </c>
      <c r="R28" s="289">
        <f>+(Q28/Q34)*100</f>
        <v>0</v>
      </c>
    </row>
    <row r="29" spans="1:18" x14ac:dyDescent="0.2">
      <c r="A29" s="1443"/>
      <c r="B29" s="290" t="s">
        <v>483</v>
      </c>
      <c r="C29" s="297"/>
      <c r="D29" s="420"/>
      <c r="E29" s="420"/>
      <c r="F29" s="420">
        <v>5008540</v>
      </c>
      <c r="G29" s="412"/>
      <c r="H29" s="420">
        <v>20000</v>
      </c>
      <c r="I29" s="406">
        <f t="shared" si="13"/>
        <v>5028540</v>
      </c>
      <c r="J29" s="412"/>
      <c r="K29" s="412"/>
      <c r="L29" s="420"/>
      <c r="M29" s="412"/>
      <c r="N29" s="406">
        <f t="shared" si="14"/>
        <v>0</v>
      </c>
      <c r="O29" s="424"/>
      <c r="P29" s="298"/>
      <c r="Q29" s="287">
        <f t="shared" si="15"/>
        <v>5028540</v>
      </c>
      <c r="R29" s="289">
        <f>+(Q29/Q34)*100</f>
        <v>15.205298471420797</v>
      </c>
    </row>
    <row r="30" spans="1:18" x14ac:dyDescent="0.2">
      <c r="A30" s="1443"/>
      <c r="B30" s="290" t="s">
        <v>484</v>
      </c>
      <c r="C30" s="297"/>
      <c r="D30" s="420"/>
      <c r="E30" s="420"/>
      <c r="F30" s="420">
        <v>6258973</v>
      </c>
      <c r="G30" s="412"/>
      <c r="H30" s="420">
        <v>20000</v>
      </c>
      <c r="I30" s="406">
        <f t="shared" si="13"/>
        <v>6278973</v>
      </c>
      <c r="J30" s="412"/>
      <c r="K30" s="412"/>
      <c r="L30" s="420"/>
      <c r="M30" s="412"/>
      <c r="N30" s="406">
        <f t="shared" si="14"/>
        <v>0</v>
      </c>
      <c r="O30" s="424"/>
      <c r="P30" s="298"/>
      <c r="Q30" s="287">
        <f t="shared" si="15"/>
        <v>6278973</v>
      </c>
      <c r="R30" s="289">
        <f>+(Q30/Q34)*100</f>
        <v>18.986357582716348</v>
      </c>
    </row>
    <row r="31" spans="1:18" x14ac:dyDescent="0.2">
      <c r="A31" s="1443"/>
      <c r="B31" s="290" t="s">
        <v>485</v>
      </c>
      <c r="C31" s="297"/>
      <c r="D31" s="420"/>
      <c r="E31" s="420"/>
      <c r="F31" s="420">
        <v>7318057</v>
      </c>
      <c r="G31" s="412"/>
      <c r="H31" s="420">
        <v>20000</v>
      </c>
      <c r="I31" s="406">
        <f t="shared" si="13"/>
        <v>7338057</v>
      </c>
      <c r="J31" s="412"/>
      <c r="K31" s="412"/>
      <c r="L31" s="420"/>
      <c r="M31" s="412"/>
      <c r="N31" s="406">
        <f t="shared" si="14"/>
        <v>0</v>
      </c>
      <c r="O31" s="424"/>
      <c r="P31" s="298"/>
      <c r="Q31" s="287">
        <f t="shared" si="15"/>
        <v>7338057</v>
      </c>
      <c r="R31" s="289">
        <f>+(Q31/Q34)*100</f>
        <v>22.188815617514962</v>
      </c>
    </row>
    <row r="32" spans="1:18" x14ac:dyDescent="0.2">
      <c r="A32" s="1443"/>
      <c r="B32" s="290" t="s">
        <v>486</v>
      </c>
      <c r="C32" s="297"/>
      <c r="D32" s="420"/>
      <c r="E32" s="420"/>
      <c r="F32" s="420">
        <v>895051</v>
      </c>
      <c r="G32" s="412"/>
      <c r="H32" s="420">
        <v>20000</v>
      </c>
      <c r="I32" s="406">
        <f t="shared" si="13"/>
        <v>915051</v>
      </c>
      <c r="J32" s="412"/>
      <c r="K32" s="412"/>
      <c r="L32" s="412"/>
      <c r="M32" s="412"/>
      <c r="N32" s="406">
        <f t="shared" si="14"/>
        <v>0</v>
      </c>
      <c r="O32" s="424"/>
      <c r="P32" s="298"/>
      <c r="Q32" s="287">
        <f t="shared" si="15"/>
        <v>915051</v>
      </c>
      <c r="R32" s="289">
        <f>+(Q32/Q34)*100</f>
        <v>2.7669310717568263</v>
      </c>
    </row>
    <row r="33" spans="1:18" ht="12" thickBot="1" x14ac:dyDescent="0.25">
      <c r="A33" s="1444"/>
      <c r="B33" s="300" t="s">
        <v>487</v>
      </c>
      <c r="C33" s="301"/>
      <c r="D33" s="402"/>
      <c r="E33" s="425"/>
      <c r="F33" s="402">
        <v>861828</v>
      </c>
      <c r="G33" s="425"/>
      <c r="H33" s="402">
        <v>20000</v>
      </c>
      <c r="I33" s="406">
        <f t="shared" si="13"/>
        <v>881828</v>
      </c>
      <c r="J33" s="426"/>
      <c r="K33" s="425"/>
      <c r="L33" s="425"/>
      <c r="M33" s="425"/>
      <c r="N33" s="406">
        <f t="shared" si="14"/>
        <v>0</v>
      </c>
      <c r="O33" s="413"/>
      <c r="P33" s="302"/>
      <c r="Q33" s="287">
        <f t="shared" si="15"/>
        <v>881828</v>
      </c>
      <c r="R33" s="289">
        <f>+(Q33/Q34)*100</f>
        <v>2.6664713695140256</v>
      </c>
    </row>
    <row r="34" spans="1:18" ht="12" thickBot="1" x14ac:dyDescent="0.25">
      <c r="A34" s="304" t="s">
        <v>90</v>
      </c>
      <c r="B34" s="304" t="s">
        <v>90</v>
      </c>
      <c r="C34" s="305"/>
      <c r="D34" s="416">
        <f>SUM(D24:D33)</f>
        <v>0</v>
      </c>
      <c r="E34" s="416">
        <f t="shared" ref="E34:J34" si="16">SUM(E24:E33)</f>
        <v>0</v>
      </c>
      <c r="F34" s="416">
        <f t="shared" si="16"/>
        <v>27880424</v>
      </c>
      <c r="G34" s="416">
        <f t="shared" si="16"/>
        <v>0</v>
      </c>
      <c r="H34" s="416">
        <f t="shared" si="16"/>
        <v>5190548</v>
      </c>
      <c r="I34" s="416">
        <f t="shared" si="16"/>
        <v>33070972</v>
      </c>
      <c r="J34" s="416">
        <f t="shared" si="16"/>
        <v>0</v>
      </c>
      <c r="K34" s="416">
        <f t="shared" ref="K34" si="17">SUM(K24:K33)</f>
        <v>0</v>
      </c>
      <c r="L34" s="416">
        <f t="shared" ref="L34" si="18">SUM(L24:L33)</f>
        <v>0</v>
      </c>
      <c r="M34" s="416">
        <f t="shared" ref="M34" si="19">SUM(M24:M33)</f>
        <v>0</v>
      </c>
      <c r="N34" s="416">
        <f t="shared" ref="N34:R34" si="20">SUM(N24:N33)</f>
        <v>0</v>
      </c>
      <c r="O34" s="416">
        <f t="shared" si="20"/>
        <v>0</v>
      </c>
      <c r="P34" s="416">
        <f t="shared" si="20"/>
        <v>0</v>
      </c>
      <c r="Q34" s="416">
        <f t="shared" si="20"/>
        <v>33070972</v>
      </c>
      <c r="R34" s="306">
        <f t="shared" si="20"/>
        <v>100.00000000000001</v>
      </c>
    </row>
    <row r="35" spans="1:18" x14ac:dyDescent="0.2">
      <c r="A35" s="189"/>
      <c r="B35" s="189"/>
      <c r="C35" s="190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37" spans="1:18" x14ac:dyDescent="0.2">
      <c r="A37" s="171" t="s">
        <v>405</v>
      </c>
      <c r="B37" s="171"/>
      <c r="C37" s="279"/>
      <c r="D37" s="279"/>
      <c r="E37" s="279"/>
      <c r="F37" s="279"/>
      <c r="G37" s="279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</row>
    <row r="38" spans="1:18" ht="12" thickBot="1" x14ac:dyDescent="0.25">
      <c r="A38" s="173" t="s">
        <v>460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</row>
    <row r="39" spans="1:18" ht="12" thickBot="1" x14ac:dyDescent="0.25">
      <c r="A39" s="1434" t="s">
        <v>8</v>
      </c>
      <c r="B39" s="1434" t="s">
        <v>284</v>
      </c>
      <c r="C39" s="1436" t="s">
        <v>122</v>
      </c>
      <c r="D39" s="1437"/>
      <c r="E39" s="1437"/>
      <c r="F39" s="1437"/>
      <c r="G39" s="1437"/>
      <c r="H39" s="1437"/>
      <c r="I39" s="1438"/>
      <c r="J39" s="1436" t="s">
        <v>110</v>
      </c>
      <c r="K39" s="1437"/>
      <c r="L39" s="1437"/>
      <c r="M39" s="1437"/>
      <c r="N39" s="1438"/>
      <c r="O39" s="1436" t="s">
        <v>99</v>
      </c>
      <c r="P39" s="1438"/>
      <c r="Q39" s="1436" t="s">
        <v>0</v>
      </c>
      <c r="R39" s="1438"/>
    </row>
    <row r="40" spans="1:18" ht="161.25" thickBot="1" x14ac:dyDescent="0.25">
      <c r="A40" s="1435"/>
      <c r="B40" s="1435"/>
      <c r="C40" s="281" t="s">
        <v>111</v>
      </c>
      <c r="D40" s="417" t="s">
        <v>112</v>
      </c>
      <c r="E40" s="417" t="s">
        <v>113</v>
      </c>
      <c r="F40" s="417" t="s">
        <v>114</v>
      </c>
      <c r="G40" s="417" t="s">
        <v>115</v>
      </c>
      <c r="H40" s="417" t="s">
        <v>116</v>
      </c>
      <c r="I40" s="283" t="s">
        <v>107</v>
      </c>
      <c r="J40" s="281" t="s">
        <v>117</v>
      </c>
      <c r="K40" s="282" t="s">
        <v>118</v>
      </c>
      <c r="L40" s="282" t="s">
        <v>119</v>
      </c>
      <c r="M40" s="282" t="s">
        <v>120</v>
      </c>
      <c r="N40" s="283" t="s">
        <v>108</v>
      </c>
      <c r="O40" s="281" t="s">
        <v>121</v>
      </c>
      <c r="P40" s="283" t="s">
        <v>109</v>
      </c>
      <c r="Q40" s="284" t="s">
        <v>146</v>
      </c>
      <c r="R40" s="285" t="s">
        <v>97</v>
      </c>
    </row>
    <row r="41" spans="1:18" x14ac:dyDescent="0.2">
      <c r="A41" s="1442" t="s">
        <v>490</v>
      </c>
      <c r="B41" s="286" t="s">
        <v>478</v>
      </c>
      <c r="C41" s="401"/>
      <c r="D41" s="420"/>
      <c r="E41" s="420"/>
      <c r="F41" s="420"/>
      <c r="G41" s="406"/>
      <c r="H41" s="420"/>
      <c r="I41" s="409">
        <f t="shared" ref="I41:I42" si="21">+C41+D41+E41+F41+G41+H41</f>
        <v>0</v>
      </c>
      <c r="J41" s="401"/>
      <c r="K41" s="403"/>
      <c r="L41" s="402">
        <v>26027810</v>
      </c>
      <c r="M41" s="403"/>
      <c r="N41" s="409">
        <f t="shared" ref="N41:N42" si="22">+J41+K41+L41+M41</f>
        <v>26027810</v>
      </c>
      <c r="O41" s="401"/>
      <c r="P41" s="288"/>
      <c r="Q41" s="287">
        <f>+I41+N41+P41</f>
        <v>26027810</v>
      </c>
      <c r="R41" s="289">
        <f>+(Q41/Q51)*100</f>
        <v>62.061716330390873</v>
      </c>
    </row>
    <row r="42" spans="1:18" x14ac:dyDescent="0.2">
      <c r="A42" s="1443"/>
      <c r="B42" s="290" t="s">
        <v>480</v>
      </c>
      <c r="C42" s="405"/>
      <c r="D42" s="420"/>
      <c r="E42" s="420"/>
      <c r="F42" s="420"/>
      <c r="G42" s="406"/>
      <c r="H42" s="420"/>
      <c r="I42" s="409">
        <f t="shared" si="21"/>
        <v>0</v>
      </c>
      <c r="J42" s="405"/>
      <c r="K42" s="406"/>
      <c r="L42" s="406"/>
      <c r="M42" s="406"/>
      <c r="N42" s="409">
        <f t="shared" si="22"/>
        <v>0</v>
      </c>
      <c r="O42" s="405"/>
      <c r="P42" s="292"/>
      <c r="Q42" s="287">
        <f>+I42+N42+P42</f>
        <v>0</v>
      </c>
      <c r="R42" s="289">
        <f>+(Q42/Q51)*100</f>
        <v>0</v>
      </c>
    </row>
    <row r="43" spans="1:18" x14ac:dyDescent="0.2">
      <c r="A43" s="1443"/>
      <c r="B43" s="290" t="s">
        <v>479</v>
      </c>
      <c r="C43" s="407"/>
      <c r="D43" s="420"/>
      <c r="E43" s="420"/>
      <c r="F43" s="420"/>
      <c r="G43" s="408"/>
      <c r="H43" s="420"/>
      <c r="I43" s="409">
        <f>+C43+D43+E43+F43+G43+H43</f>
        <v>0</v>
      </c>
      <c r="J43" s="407"/>
      <c r="K43" s="410"/>
      <c r="L43" s="410"/>
      <c r="M43" s="410"/>
      <c r="N43" s="409">
        <f>+J43+K43+L43+M43</f>
        <v>0</v>
      </c>
      <c r="O43" s="407"/>
      <c r="P43" s="295"/>
      <c r="Q43" s="287">
        <f t="shared" ref="Q43:Q50" si="23">+I43+N43+P43</f>
        <v>0</v>
      </c>
      <c r="R43" s="289">
        <f>+(Q43/Q51)*100</f>
        <v>0</v>
      </c>
    </row>
    <row r="44" spans="1:18" x14ac:dyDescent="0.2">
      <c r="A44" s="1443"/>
      <c r="B44" s="290" t="s">
        <v>481</v>
      </c>
      <c r="C44" s="407"/>
      <c r="D44" s="420"/>
      <c r="E44" s="420"/>
      <c r="F44" s="420"/>
      <c r="G44" s="408"/>
      <c r="H44" s="420"/>
      <c r="I44" s="409">
        <f t="shared" ref="I44:I50" si="24">+C44+D44+E44+F44+G44+H44</f>
        <v>0</v>
      </c>
      <c r="J44" s="407"/>
      <c r="K44" s="410"/>
      <c r="L44" s="410"/>
      <c r="M44" s="410"/>
      <c r="N44" s="409">
        <f t="shared" ref="N44:N50" si="25">+J44+K44+L44+M44</f>
        <v>0</v>
      </c>
      <c r="O44" s="407"/>
      <c r="P44" s="295"/>
      <c r="Q44" s="287">
        <f t="shared" si="23"/>
        <v>0</v>
      </c>
      <c r="R44" s="289">
        <f>+(Q44/Q51)*100</f>
        <v>0</v>
      </c>
    </row>
    <row r="45" spans="1:18" x14ac:dyDescent="0.2">
      <c r="A45" s="1443"/>
      <c r="B45" s="290" t="s">
        <v>482</v>
      </c>
      <c r="C45" s="405"/>
      <c r="D45" s="420"/>
      <c r="E45" s="406"/>
      <c r="F45" s="420"/>
      <c r="G45" s="406"/>
      <c r="H45" s="406"/>
      <c r="I45" s="409">
        <f t="shared" si="24"/>
        <v>0</v>
      </c>
      <c r="J45" s="405"/>
      <c r="K45" s="406"/>
      <c r="L45" s="406"/>
      <c r="M45" s="406"/>
      <c r="N45" s="409">
        <f t="shared" si="25"/>
        <v>0</v>
      </c>
      <c r="O45" s="405"/>
      <c r="P45" s="292"/>
      <c r="Q45" s="287">
        <f t="shared" si="23"/>
        <v>0</v>
      </c>
      <c r="R45" s="289">
        <f>+(Q45/Q51)*100</f>
        <v>0</v>
      </c>
    </row>
    <row r="46" spans="1:18" x14ac:dyDescent="0.2">
      <c r="A46" s="1443"/>
      <c r="B46" s="290" t="s">
        <v>483</v>
      </c>
      <c r="C46" s="411"/>
      <c r="D46" s="420"/>
      <c r="E46" s="420"/>
      <c r="F46" s="420"/>
      <c r="G46" s="412"/>
      <c r="H46" s="412"/>
      <c r="I46" s="409">
        <f t="shared" si="24"/>
        <v>0</v>
      </c>
      <c r="J46" s="411"/>
      <c r="K46" s="412"/>
      <c r="L46" s="402"/>
      <c r="M46" s="412"/>
      <c r="N46" s="409">
        <f t="shared" si="25"/>
        <v>0</v>
      </c>
      <c r="O46" s="411"/>
      <c r="P46" s="298"/>
      <c r="Q46" s="287">
        <f t="shared" si="23"/>
        <v>0</v>
      </c>
      <c r="R46" s="289">
        <f>+(Q46/Q51)*100</f>
        <v>0</v>
      </c>
    </row>
    <row r="47" spans="1:18" x14ac:dyDescent="0.2">
      <c r="A47" s="1443"/>
      <c r="B47" s="290" t="s">
        <v>484</v>
      </c>
      <c r="C47" s="411"/>
      <c r="D47" s="420"/>
      <c r="E47" s="420"/>
      <c r="F47" s="420"/>
      <c r="G47" s="412"/>
      <c r="H47" s="420"/>
      <c r="I47" s="409">
        <f t="shared" si="24"/>
        <v>0</v>
      </c>
      <c r="J47" s="411"/>
      <c r="K47" s="412"/>
      <c r="L47" s="402">
        <v>15910782</v>
      </c>
      <c r="M47" s="412"/>
      <c r="N47" s="409">
        <f t="shared" si="25"/>
        <v>15910782</v>
      </c>
      <c r="O47" s="411"/>
      <c r="P47" s="298"/>
      <c r="Q47" s="287">
        <f t="shared" si="23"/>
        <v>15910782</v>
      </c>
      <c r="R47" s="289">
        <f>+(Q47/Q51)*100</f>
        <v>37.938283669609127</v>
      </c>
    </row>
    <row r="48" spans="1:18" x14ac:dyDescent="0.2">
      <c r="A48" s="1443"/>
      <c r="B48" s="290" t="s">
        <v>485</v>
      </c>
      <c r="C48" s="411"/>
      <c r="D48" s="420"/>
      <c r="E48" s="420"/>
      <c r="F48" s="420"/>
      <c r="G48" s="412"/>
      <c r="H48" s="412"/>
      <c r="I48" s="409">
        <f t="shared" si="24"/>
        <v>0</v>
      </c>
      <c r="J48" s="411"/>
      <c r="K48" s="412"/>
      <c r="L48" s="402"/>
      <c r="M48" s="412"/>
      <c r="N48" s="409">
        <f t="shared" si="25"/>
        <v>0</v>
      </c>
      <c r="O48" s="411"/>
      <c r="P48" s="298"/>
      <c r="Q48" s="287">
        <f t="shared" si="23"/>
        <v>0</v>
      </c>
      <c r="R48" s="289">
        <f>+(Q48/Q51)*100</f>
        <v>0</v>
      </c>
    </row>
    <row r="49" spans="1:18" x14ac:dyDescent="0.2">
      <c r="A49" s="1443"/>
      <c r="B49" s="290" t="s">
        <v>486</v>
      </c>
      <c r="C49" s="411"/>
      <c r="D49" s="420"/>
      <c r="E49" s="420"/>
      <c r="F49" s="420"/>
      <c r="G49" s="412"/>
      <c r="H49" s="412"/>
      <c r="I49" s="409">
        <f t="shared" si="24"/>
        <v>0</v>
      </c>
      <c r="J49" s="411"/>
      <c r="K49" s="412"/>
      <c r="L49" s="412"/>
      <c r="M49" s="412"/>
      <c r="N49" s="409">
        <f t="shared" si="25"/>
        <v>0</v>
      </c>
      <c r="O49" s="411"/>
      <c r="P49" s="298"/>
      <c r="Q49" s="287">
        <f t="shared" si="23"/>
        <v>0</v>
      </c>
      <c r="R49" s="289">
        <f>+(Q49/Q51)*100</f>
        <v>0</v>
      </c>
    </row>
    <row r="50" spans="1:18" ht="12" thickBot="1" x14ac:dyDescent="0.25">
      <c r="A50" s="1444"/>
      <c r="B50" s="300" t="s">
        <v>487</v>
      </c>
      <c r="C50" s="413"/>
      <c r="D50" s="402"/>
      <c r="E50" s="425"/>
      <c r="F50" s="402"/>
      <c r="G50" s="425"/>
      <c r="H50" s="425"/>
      <c r="I50" s="409">
        <f t="shared" si="24"/>
        <v>0</v>
      </c>
      <c r="J50" s="413"/>
      <c r="K50" s="414"/>
      <c r="L50" s="414"/>
      <c r="M50" s="414"/>
      <c r="N50" s="409">
        <f t="shared" si="25"/>
        <v>0</v>
      </c>
      <c r="O50" s="413"/>
      <c r="P50" s="302"/>
      <c r="Q50" s="287">
        <f t="shared" si="23"/>
        <v>0</v>
      </c>
      <c r="R50" s="289">
        <f>+(Q50/Q51)*100</f>
        <v>0</v>
      </c>
    </row>
    <row r="51" spans="1:18" ht="12" thickBot="1" x14ac:dyDescent="0.25">
      <c r="A51" s="304" t="s">
        <v>90</v>
      </c>
      <c r="B51" s="304" t="s">
        <v>90</v>
      </c>
      <c r="C51" s="415"/>
      <c r="D51" s="416">
        <f>SUM(D41:D50)</f>
        <v>0</v>
      </c>
      <c r="E51" s="416">
        <f t="shared" ref="E51:O51" si="26">SUM(E41:E50)</f>
        <v>0</v>
      </c>
      <c r="F51" s="416">
        <f t="shared" si="26"/>
        <v>0</v>
      </c>
      <c r="G51" s="416">
        <f t="shared" si="26"/>
        <v>0</v>
      </c>
      <c r="H51" s="416">
        <f t="shared" si="26"/>
        <v>0</v>
      </c>
      <c r="I51" s="416">
        <f t="shared" si="26"/>
        <v>0</v>
      </c>
      <c r="J51" s="416">
        <f t="shared" si="26"/>
        <v>0</v>
      </c>
      <c r="K51" s="416">
        <f t="shared" si="26"/>
        <v>0</v>
      </c>
      <c r="L51" s="416">
        <f t="shared" si="26"/>
        <v>41938592</v>
      </c>
      <c r="M51" s="416">
        <f t="shared" si="26"/>
        <v>0</v>
      </c>
      <c r="N51" s="416">
        <f t="shared" si="26"/>
        <v>41938592</v>
      </c>
      <c r="O51" s="416">
        <f t="shared" si="26"/>
        <v>0</v>
      </c>
      <c r="P51" s="416">
        <f t="shared" ref="P51" si="27">SUM(P41:P50)</f>
        <v>0</v>
      </c>
      <c r="Q51" s="416">
        <f t="shared" ref="Q51:R51" si="28">SUM(Q41:Q50)</f>
        <v>41938592</v>
      </c>
      <c r="R51" s="306">
        <f t="shared" si="28"/>
        <v>100</v>
      </c>
    </row>
    <row r="54" spans="1:18" x14ac:dyDescent="0.2">
      <c r="A54" s="171" t="s">
        <v>405</v>
      </c>
      <c r="B54" s="171"/>
      <c r="C54" s="279"/>
      <c r="D54" s="279"/>
      <c r="E54" s="279"/>
      <c r="F54" s="279"/>
      <c r="G54" s="279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</row>
    <row r="55" spans="1:18" ht="12" thickBot="1" x14ac:dyDescent="0.25">
      <c r="A55" s="173" t="s">
        <v>460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1:18" ht="12" thickBot="1" x14ac:dyDescent="0.25">
      <c r="A56" s="1434" t="s">
        <v>8</v>
      </c>
      <c r="B56" s="1434" t="s">
        <v>284</v>
      </c>
      <c r="C56" s="1436" t="s">
        <v>122</v>
      </c>
      <c r="D56" s="1437"/>
      <c r="E56" s="1437"/>
      <c r="F56" s="1437"/>
      <c r="G56" s="1437"/>
      <c r="H56" s="1437"/>
      <c r="I56" s="1438"/>
      <c r="J56" s="1436" t="s">
        <v>110</v>
      </c>
      <c r="K56" s="1437"/>
      <c r="L56" s="1437"/>
      <c r="M56" s="1437"/>
      <c r="N56" s="1438"/>
      <c r="O56" s="1436" t="s">
        <v>99</v>
      </c>
      <c r="P56" s="1438"/>
      <c r="Q56" s="1436" t="s">
        <v>0</v>
      </c>
      <c r="R56" s="1438"/>
    </row>
    <row r="57" spans="1:18" ht="161.25" thickBot="1" x14ac:dyDescent="0.25">
      <c r="A57" s="1435"/>
      <c r="B57" s="1435"/>
      <c r="C57" s="281" t="s">
        <v>111</v>
      </c>
      <c r="D57" s="417" t="s">
        <v>112</v>
      </c>
      <c r="E57" s="417" t="s">
        <v>113</v>
      </c>
      <c r="F57" s="417" t="s">
        <v>114</v>
      </c>
      <c r="G57" s="417" t="s">
        <v>115</v>
      </c>
      <c r="H57" s="417" t="s">
        <v>116</v>
      </c>
      <c r="I57" s="283" t="s">
        <v>107</v>
      </c>
      <c r="J57" s="281" t="s">
        <v>117</v>
      </c>
      <c r="K57" s="282" t="s">
        <v>118</v>
      </c>
      <c r="L57" s="417" t="s">
        <v>119</v>
      </c>
      <c r="M57" s="417" t="s">
        <v>120</v>
      </c>
      <c r="N57" s="283" t="s">
        <v>108</v>
      </c>
      <c r="O57" s="281" t="s">
        <v>121</v>
      </c>
      <c r="P57" s="283" t="s">
        <v>109</v>
      </c>
      <c r="Q57" s="284" t="s">
        <v>146</v>
      </c>
      <c r="R57" s="285" t="s">
        <v>97</v>
      </c>
    </row>
    <row r="58" spans="1:18" x14ac:dyDescent="0.2">
      <c r="A58" s="1442" t="s">
        <v>491</v>
      </c>
      <c r="B58" s="286" t="s">
        <v>478</v>
      </c>
      <c r="C58" s="401"/>
      <c r="D58" s="420"/>
      <c r="E58" s="420"/>
      <c r="F58" s="420">
        <v>72400</v>
      </c>
      <c r="G58" s="406"/>
      <c r="H58" s="420"/>
      <c r="I58" s="404">
        <f>+C58+D58+E58+F58+G58+H58</f>
        <v>72400</v>
      </c>
      <c r="J58" s="401"/>
      <c r="K58" s="403"/>
      <c r="L58" s="420"/>
      <c r="M58" s="406"/>
      <c r="N58" s="404">
        <f>+J58+K58+L58+M58</f>
        <v>0</v>
      </c>
      <c r="O58" s="401"/>
      <c r="P58" s="404">
        <f>+O58</f>
        <v>0</v>
      </c>
      <c r="Q58" s="401">
        <f>+I58+N58+P58</f>
        <v>72400</v>
      </c>
      <c r="R58" s="289">
        <f>+(Q58/Q68)*100</f>
        <v>100</v>
      </c>
    </row>
    <row r="59" spans="1:18" x14ac:dyDescent="0.2">
      <c r="A59" s="1443"/>
      <c r="B59" s="290" t="s">
        <v>480</v>
      </c>
      <c r="C59" s="405"/>
      <c r="D59" s="420"/>
      <c r="E59" s="420"/>
      <c r="F59" s="420"/>
      <c r="G59" s="406"/>
      <c r="H59" s="420"/>
      <c r="I59" s="404">
        <f t="shared" ref="I59:I67" si="29">+C59+D59+E59+F59+G59+H59</f>
        <v>0</v>
      </c>
      <c r="J59" s="405"/>
      <c r="K59" s="406"/>
      <c r="L59" s="406"/>
      <c r="M59" s="406"/>
      <c r="N59" s="404">
        <f t="shared" ref="N59:N67" si="30">+J59+K59+L59+M59</f>
        <v>0</v>
      </c>
      <c r="O59" s="405"/>
      <c r="P59" s="404">
        <f t="shared" ref="P59:P67" si="31">+O59</f>
        <v>0</v>
      </c>
      <c r="Q59" s="401">
        <f t="shared" ref="Q59:Q67" si="32">+I59+N59+P59</f>
        <v>0</v>
      </c>
      <c r="R59" s="293"/>
    </row>
    <row r="60" spans="1:18" x14ac:dyDescent="0.2">
      <c r="A60" s="1443"/>
      <c r="B60" s="290" t="s">
        <v>479</v>
      </c>
      <c r="C60" s="407"/>
      <c r="D60" s="420"/>
      <c r="E60" s="420"/>
      <c r="F60" s="420"/>
      <c r="G60" s="408"/>
      <c r="H60" s="420"/>
      <c r="I60" s="404">
        <f t="shared" si="29"/>
        <v>0</v>
      </c>
      <c r="J60" s="407"/>
      <c r="K60" s="410"/>
      <c r="L60" s="410"/>
      <c r="M60" s="410"/>
      <c r="N60" s="404">
        <f t="shared" si="30"/>
        <v>0</v>
      </c>
      <c r="O60" s="407"/>
      <c r="P60" s="404">
        <f t="shared" si="31"/>
        <v>0</v>
      </c>
      <c r="Q60" s="401">
        <f t="shared" si="32"/>
        <v>0</v>
      </c>
      <c r="R60" s="296"/>
    </row>
    <row r="61" spans="1:18" x14ac:dyDescent="0.2">
      <c r="A61" s="1443"/>
      <c r="B61" s="290" t="s">
        <v>481</v>
      </c>
      <c r="C61" s="407"/>
      <c r="D61" s="420"/>
      <c r="E61" s="420"/>
      <c r="F61" s="420"/>
      <c r="G61" s="408"/>
      <c r="H61" s="420"/>
      <c r="I61" s="404">
        <f t="shared" si="29"/>
        <v>0</v>
      </c>
      <c r="J61" s="407"/>
      <c r="K61" s="410"/>
      <c r="L61" s="410"/>
      <c r="M61" s="410"/>
      <c r="N61" s="404">
        <f t="shared" si="30"/>
        <v>0</v>
      </c>
      <c r="O61" s="407"/>
      <c r="P61" s="404">
        <f t="shared" si="31"/>
        <v>0</v>
      </c>
      <c r="Q61" s="401">
        <f t="shared" si="32"/>
        <v>0</v>
      </c>
      <c r="R61" s="296"/>
    </row>
    <row r="62" spans="1:18" x14ac:dyDescent="0.2">
      <c r="A62" s="1443"/>
      <c r="B62" s="290" t="s">
        <v>482</v>
      </c>
      <c r="C62" s="405"/>
      <c r="D62" s="420"/>
      <c r="E62" s="406"/>
      <c r="F62" s="420"/>
      <c r="G62" s="406"/>
      <c r="H62" s="406"/>
      <c r="I62" s="404">
        <f t="shared" si="29"/>
        <v>0</v>
      </c>
      <c r="J62" s="405"/>
      <c r="K62" s="406"/>
      <c r="L62" s="406"/>
      <c r="M62" s="406"/>
      <c r="N62" s="404">
        <f t="shared" si="30"/>
        <v>0</v>
      </c>
      <c r="O62" s="405"/>
      <c r="P62" s="404">
        <f t="shared" si="31"/>
        <v>0</v>
      </c>
      <c r="Q62" s="401">
        <f t="shared" si="32"/>
        <v>0</v>
      </c>
      <c r="R62" s="293"/>
    </row>
    <row r="63" spans="1:18" x14ac:dyDescent="0.2">
      <c r="A63" s="1443"/>
      <c r="B63" s="290" t="s">
        <v>483</v>
      </c>
      <c r="C63" s="411"/>
      <c r="D63" s="420"/>
      <c r="E63" s="420"/>
      <c r="F63" s="420"/>
      <c r="G63" s="412"/>
      <c r="H63" s="412"/>
      <c r="I63" s="404">
        <f t="shared" si="29"/>
        <v>0</v>
      </c>
      <c r="J63" s="411"/>
      <c r="K63" s="412"/>
      <c r="L63" s="420"/>
      <c r="M63" s="412"/>
      <c r="N63" s="404">
        <f t="shared" si="30"/>
        <v>0</v>
      </c>
      <c r="O63" s="411"/>
      <c r="P63" s="404">
        <f t="shared" si="31"/>
        <v>0</v>
      </c>
      <c r="Q63" s="401">
        <f t="shared" si="32"/>
        <v>0</v>
      </c>
      <c r="R63" s="299"/>
    </row>
    <row r="64" spans="1:18" x14ac:dyDescent="0.2">
      <c r="A64" s="1443"/>
      <c r="B64" s="290" t="s">
        <v>484</v>
      </c>
      <c r="C64" s="411"/>
      <c r="D64" s="420"/>
      <c r="E64" s="420"/>
      <c r="F64" s="420"/>
      <c r="G64" s="412"/>
      <c r="H64" s="420"/>
      <c r="I64" s="404">
        <f t="shared" si="29"/>
        <v>0</v>
      </c>
      <c r="J64" s="411"/>
      <c r="K64" s="412"/>
      <c r="L64" s="420"/>
      <c r="M64" s="412"/>
      <c r="N64" s="404">
        <f t="shared" si="30"/>
        <v>0</v>
      </c>
      <c r="O64" s="411"/>
      <c r="P64" s="404">
        <f t="shared" si="31"/>
        <v>0</v>
      </c>
      <c r="Q64" s="401">
        <f t="shared" si="32"/>
        <v>0</v>
      </c>
      <c r="R64" s="299"/>
    </row>
    <row r="65" spans="1:18" x14ac:dyDescent="0.2">
      <c r="A65" s="1443"/>
      <c r="B65" s="290" t="s">
        <v>485</v>
      </c>
      <c r="C65" s="411"/>
      <c r="D65" s="420"/>
      <c r="E65" s="420"/>
      <c r="F65" s="420"/>
      <c r="G65" s="412"/>
      <c r="H65" s="412"/>
      <c r="I65" s="404">
        <f t="shared" si="29"/>
        <v>0</v>
      </c>
      <c r="J65" s="411"/>
      <c r="K65" s="412"/>
      <c r="L65" s="420"/>
      <c r="M65" s="412"/>
      <c r="N65" s="404">
        <f t="shared" si="30"/>
        <v>0</v>
      </c>
      <c r="O65" s="411"/>
      <c r="P65" s="404">
        <f t="shared" si="31"/>
        <v>0</v>
      </c>
      <c r="Q65" s="401">
        <f t="shared" si="32"/>
        <v>0</v>
      </c>
      <c r="R65" s="299"/>
    </row>
    <row r="66" spans="1:18" x14ac:dyDescent="0.2">
      <c r="A66" s="1443"/>
      <c r="B66" s="290" t="s">
        <v>486</v>
      </c>
      <c r="C66" s="411"/>
      <c r="D66" s="420"/>
      <c r="E66" s="420"/>
      <c r="F66" s="420"/>
      <c r="G66" s="412"/>
      <c r="H66" s="412"/>
      <c r="I66" s="404">
        <f t="shared" si="29"/>
        <v>0</v>
      </c>
      <c r="J66" s="411"/>
      <c r="K66" s="412"/>
      <c r="L66" s="412"/>
      <c r="M66" s="412"/>
      <c r="N66" s="404">
        <f t="shared" si="30"/>
        <v>0</v>
      </c>
      <c r="O66" s="411"/>
      <c r="P66" s="404">
        <f t="shared" si="31"/>
        <v>0</v>
      </c>
      <c r="Q66" s="401">
        <f t="shared" si="32"/>
        <v>0</v>
      </c>
      <c r="R66" s="299"/>
    </row>
    <row r="67" spans="1:18" ht="12" thickBot="1" x14ac:dyDescent="0.25">
      <c r="A67" s="1444"/>
      <c r="B67" s="300" t="s">
        <v>487</v>
      </c>
      <c r="C67" s="413"/>
      <c r="D67" s="402"/>
      <c r="E67" s="425"/>
      <c r="F67" s="402"/>
      <c r="G67" s="425"/>
      <c r="H67" s="425"/>
      <c r="I67" s="404">
        <f t="shared" si="29"/>
        <v>0</v>
      </c>
      <c r="J67" s="413"/>
      <c r="K67" s="414"/>
      <c r="L67" s="414"/>
      <c r="M67" s="414"/>
      <c r="N67" s="404">
        <f t="shared" si="30"/>
        <v>0</v>
      </c>
      <c r="O67" s="413"/>
      <c r="P67" s="404">
        <f t="shared" si="31"/>
        <v>0</v>
      </c>
      <c r="Q67" s="401">
        <f t="shared" si="32"/>
        <v>0</v>
      </c>
      <c r="R67" s="303"/>
    </row>
    <row r="68" spans="1:18" ht="12" thickBot="1" x14ac:dyDescent="0.25">
      <c r="A68" s="304" t="s">
        <v>90</v>
      </c>
      <c r="B68" s="304" t="s">
        <v>90</v>
      </c>
      <c r="C68" s="415"/>
      <c r="D68" s="416">
        <f>SUM(D58:D67)</f>
        <v>0</v>
      </c>
      <c r="E68" s="416">
        <f t="shared" ref="E68:R68" si="33">SUM(E58:E67)</f>
        <v>0</v>
      </c>
      <c r="F68" s="416">
        <f t="shared" si="33"/>
        <v>72400</v>
      </c>
      <c r="G68" s="416">
        <f t="shared" si="33"/>
        <v>0</v>
      </c>
      <c r="H68" s="416">
        <f t="shared" si="33"/>
        <v>0</v>
      </c>
      <c r="I68" s="416">
        <f t="shared" si="33"/>
        <v>72400</v>
      </c>
      <c r="J68" s="416">
        <f t="shared" si="33"/>
        <v>0</v>
      </c>
      <c r="K68" s="416">
        <f t="shared" si="33"/>
        <v>0</v>
      </c>
      <c r="L68" s="416">
        <f t="shared" si="33"/>
        <v>0</v>
      </c>
      <c r="M68" s="416">
        <f t="shared" si="33"/>
        <v>0</v>
      </c>
      <c r="N68" s="416">
        <f t="shared" si="33"/>
        <v>0</v>
      </c>
      <c r="O68" s="416">
        <f t="shared" si="33"/>
        <v>0</v>
      </c>
      <c r="P68" s="416">
        <f t="shared" si="33"/>
        <v>0</v>
      </c>
      <c r="Q68" s="416">
        <f t="shared" si="33"/>
        <v>72400</v>
      </c>
      <c r="R68" s="306">
        <f t="shared" si="33"/>
        <v>100</v>
      </c>
    </row>
    <row r="69" spans="1:18" x14ac:dyDescent="0.2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</row>
    <row r="71" spans="1:18" x14ac:dyDescent="0.2">
      <c r="A71" s="171" t="s">
        <v>405</v>
      </c>
      <c r="B71" s="171"/>
      <c r="C71" s="279"/>
      <c r="D71" s="279"/>
      <c r="E71" s="279"/>
      <c r="F71" s="279"/>
      <c r="G71" s="279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1:18" ht="12" thickBot="1" x14ac:dyDescent="0.25">
      <c r="A72" s="173" t="s">
        <v>460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1:18" ht="12" thickBot="1" x14ac:dyDescent="0.25">
      <c r="A73" s="1434" t="s">
        <v>8</v>
      </c>
      <c r="B73" s="1434" t="s">
        <v>284</v>
      </c>
      <c r="C73" s="1436" t="s">
        <v>122</v>
      </c>
      <c r="D73" s="1437"/>
      <c r="E73" s="1437"/>
      <c r="F73" s="1437"/>
      <c r="G73" s="1437"/>
      <c r="H73" s="1437"/>
      <c r="I73" s="1438"/>
      <c r="J73" s="1436" t="s">
        <v>110</v>
      </c>
      <c r="K73" s="1437"/>
      <c r="L73" s="1437"/>
      <c r="M73" s="1437"/>
      <c r="N73" s="1438"/>
      <c r="O73" s="1436" t="s">
        <v>99</v>
      </c>
      <c r="P73" s="1438"/>
      <c r="Q73" s="1436" t="s">
        <v>0</v>
      </c>
      <c r="R73" s="1438"/>
    </row>
    <row r="74" spans="1:18" ht="161.25" thickBot="1" x14ac:dyDescent="0.25">
      <c r="A74" s="1435"/>
      <c r="B74" s="1435"/>
      <c r="C74" s="281" t="s">
        <v>111</v>
      </c>
      <c r="D74" s="282" t="s">
        <v>112</v>
      </c>
      <c r="E74" s="282" t="s">
        <v>113</v>
      </c>
      <c r="F74" s="282" t="s">
        <v>114</v>
      </c>
      <c r="G74" s="282" t="s">
        <v>115</v>
      </c>
      <c r="H74" s="282" t="s">
        <v>116</v>
      </c>
      <c r="I74" s="283" t="s">
        <v>107</v>
      </c>
      <c r="J74" s="281" t="s">
        <v>117</v>
      </c>
      <c r="K74" s="282" t="s">
        <v>118</v>
      </c>
      <c r="L74" s="282" t="s">
        <v>119</v>
      </c>
      <c r="M74" s="282" t="s">
        <v>120</v>
      </c>
      <c r="N74" s="283" t="s">
        <v>108</v>
      </c>
      <c r="O74" s="281" t="s">
        <v>121</v>
      </c>
      <c r="P74" s="283" t="s">
        <v>109</v>
      </c>
      <c r="Q74" s="284" t="s">
        <v>146</v>
      </c>
      <c r="R74" s="285" t="s">
        <v>97</v>
      </c>
    </row>
    <row r="75" spans="1:18" x14ac:dyDescent="0.2">
      <c r="A75" s="1442" t="s">
        <v>492</v>
      </c>
      <c r="B75" s="286" t="s">
        <v>478</v>
      </c>
      <c r="C75" s="401"/>
      <c r="D75" s="402">
        <v>39278579</v>
      </c>
      <c r="E75" s="429">
        <v>1992160</v>
      </c>
      <c r="F75" s="402">
        <v>63097797</v>
      </c>
      <c r="G75" s="425"/>
      <c r="H75" s="402">
        <v>2585496</v>
      </c>
      <c r="I75" s="428">
        <f>+C75+D75+E75+F75+G75+H75</f>
        <v>106954032</v>
      </c>
      <c r="J75" s="426"/>
      <c r="K75" s="425"/>
      <c r="L75" s="402">
        <v>73141912</v>
      </c>
      <c r="M75" s="403"/>
      <c r="N75" s="404">
        <f>+J75+K75+L75+M75</f>
        <v>73141912</v>
      </c>
      <c r="O75" s="402">
        <v>30382531</v>
      </c>
      <c r="P75" s="404">
        <f>+O75</f>
        <v>30382531</v>
      </c>
      <c r="Q75" s="401">
        <f>+I75+N75+P75</f>
        <v>210478475</v>
      </c>
      <c r="R75" s="289">
        <f>+(Q75/Q85)*100</f>
        <v>82.341940930895291</v>
      </c>
    </row>
    <row r="76" spans="1:18" x14ac:dyDescent="0.2">
      <c r="A76" s="1443"/>
      <c r="B76" s="290" t="s">
        <v>480</v>
      </c>
      <c r="C76" s="405"/>
      <c r="D76" s="420"/>
      <c r="E76" s="420"/>
      <c r="F76" s="420"/>
      <c r="G76" s="406"/>
      <c r="H76" s="420"/>
      <c r="I76" s="406">
        <f t="shared" ref="I76:I84" si="34">+C76+D76+E76+F76+G76+H76</f>
        <v>0</v>
      </c>
      <c r="J76" s="406"/>
      <c r="K76" s="406"/>
      <c r="L76" s="406"/>
      <c r="M76" s="406"/>
      <c r="N76" s="404">
        <f t="shared" ref="N76:N84" si="35">+J76+K76+L76+M76</f>
        <v>0</v>
      </c>
      <c r="O76" s="405"/>
      <c r="P76" s="404">
        <f t="shared" ref="P76:P84" si="36">+O76</f>
        <v>0</v>
      </c>
      <c r="Q76" s="401">
        <f t="shared" ref="Q76:Q84" si="37">+I76+N76+P76</f>
        <v>0</v>
      </c>
      <c r="R76" s="293">
        <f>+(Q76/Q85)*100</f>
        <v>0</v>
      </c>
    </row>
    <row r="77" spans="1:18" x14ac:dyDescent="0.2">
      <c r="A77" s="1443"/>
      <c r="B77" s="290" t="s">
        <v>479</v>
      </c>
      <c r="C77" s="407"/>
      <c r="D77" s="420"/>
      <c r="E77" s="420"/>
      <c r="F77" s="420"/>
      <c r="G77" s="408"/>
      <c r="H77" s="420"/>
      <c r="I77" s="406">
        <f t="shared" si="34"/>
        <v>0</v>
      </c>
      <c r="J77" s="410"/>
      <c r="K77" s="410"/>
      <c r="L77" s="410"/>
      <c r="M77" s="410"/>
      <c r="N77" s="404">
        <f t="shared" si="35"/>
        <v>0</v>
      </c>
      <c r="O77" s="407"/>
      <c r="P77" s="404">
        <f t="shared" si="36"/>
        <v>0</v>
      </c>
      <c r="Q77" s="401">
        <f t="shared" si="37"/>
        <v>0</v>
      </c>
      <c r="R77" s="293">
        <f>+(Q77/Q85)*100</f>
        <v>0</v>
      </c>
    </row>
    <row r="78" spans="1:18" x14ac:dyDescent="0.2">
      <c r="A78" s="1443"/>
      <c r="B78" s="290" t="s">
        <v>481</v>
      </c>
      <c r="C78" s="407"/>
      <c r="D78" s="420"/>
      <c r="E78" s="420"/>
      <c r="F78" s="420"/>
      <c r="G78" s="408"/>
      <c r="H78" s="420"/>
      <c r="I78" s="406">
        <f t="shared" si="34"/>
        <v>0</v>
      </c>
      <c r="J78" s="410"/>
      <c r="K78" s="410"/>
      <c r="L78" s="410"/>
      <c r="M78" s="410"/>
      <c r="N78" s="404">
        <f t="shared" si="35"/>
        <v>0</v>
      </c>
      <c r="O78" s="407"/>
      <c r="P78" s="404">
        <f t="shared" si="36"/>
        <v>0</v>
      </c>
      <c r="Q78" s="401">
        <f t="shared" si="37"/>
        <v>0</v>
      </c>
      <c r="R78" s="293">
        <f>+(Q78/Q85)*100</f>
        <v>0</v>
      </c>
    </row>
    <row r="79" spans="1:18" ht="22.5" x14ac:dyDescent="0.2">
      <c r="A79" s="1443"/>
      <c r="B79" s="427" t="s">
        <v>482</v>
      </c>
      <c r="C79" s="405"/>
      <c r="D79" s="420"/>
      <c r="E79" s="406"/>
      <c r="F79" s="420">
        <v>41584028</v>
      </c>
      <c r="G79" s="406"/>
      <c r="H79" s="406"/>
      <c r="I79" s="406">
        <f t="shared" si="34"/>
        <v>41584028</v>
      </c>
      <c r="J79" s="406"/>
      <c r="K79" s="406"/>
      <c r="L79" s="420">
        <v>3552646</v>
      </c>
      <c r="M79" s="406"/>
      <c r="N79" s="404">
        <f t="shared" si="35"/>
        <v>3552646</v>
      </c>
      <c r="O79" s="405"/>
      <c r="P79" s="404">
        <f t="shared" si="36"/>
        <v>0</v>
      </c>
      <c r="Q79" s="401">
        <f t="shared" si="37"/>
        <v>45136674</v>
      </c>
      <c r="R79" s="293">
        <f>+(Q79/Q85)*100</f>
        <v>17.658059069104702</v>
      </c>
    </row>
    <row r="80" spans="1:18" x14ac:dyDescent="0.2">
      <c r="A80" s="1443"/>
      <c r="B80" s="290" t="s">
        <v>483</v>
      </c>
      <c r="C80" s="411"/>
      <c r="D80" s="420"/>
      <c r="E80" s="420"/>
      <c r="F80" s="420"/>
      <c r="G80" s="412"/>
      <c r="H80" s="412"/>
      <c r="I80" s="406">
        <f t="shared" si="34"/>
        <v>0</v>
      </c>
      <c r="J80" s="412"/>
      <c r="K80" s="412"/>
      <c r="L80" s="420"/>
      <c r="M80" s="412"/>
      <c r="N80" s="404">
        <f t="shared" si="35"/>
        <v>0</v>
      </c>
      <c r="O80" s="411"/>
      <c r="P80" s="404">
        <f t="shared" si="36"/>
        <v>0</v>
      </c>
      <c r="Q80" s="401">
        <f t="shared" si="37"/>
        <v>0</v>
      </c>
      <c r="R80" s="293">
        <f>+(Q80/Q85)*100</f>
        <v>0</v>
      </c>
    </row>
    <row r="81" spans="1:18" x14ac:dyDescent="0.2">
      <c r="A81" s="1443"/>
      <c r="B81" s="290" t="s">
        <v>484</v>
      </c>
      <c r="C81" s="411"/>
      <c r="D81" s="420"/>
      <c r="E81" s="420"/>
      <c r="F81" s="420"/>
      <c r="G81" s="412"/>
      <c r="H81" s="420"/>
      <c r="I81" s="406">
        <f t="shared" si="34"/>
        <v>0</v>
      </c>
      <c r="J81" s="412"/>
      <c r="K81" s="412"/>
      <c r="L81" s="420"/>
      <c r="M81" s="412"/>
      <c r="N81" s="404">
        <f t="shared" si="35"/>
        <v>0</v>
      </c>
      <c r="O81" s="411"/>
      <c r="P81" s="404">
        <f t="shared" si="36"/>
        <v>0</v>
      </c>
      <c r="Q81" s="401">
        <f t="shared" si="37"/>
        <v>0</v>
      </c>
      <c r="R81" s="293">
        <f>+(Q81/Q85)*100</f>
        <v>0</v>
      </c>
    </row>
    <row r="82" spans="1:18" x14ac:dyDescent="0.2">
      <c r="A82" s="1443"/>
      <c r="B82" s="290" t="s">
        <v>485</v>
      </c>
      <c r="C82" s="411"/>
      <c r="D82" s="420"/>
      <c r="E82" s="420"/>
      <c r="F82" s="420"/>
      <c r="G82" s="412"/>
      <c r="H82" s="412"/>
      <c r="I82" s="406">
        <f t="shared" si="34"/>
        <v>0</v>
      </c>
      <c r="J82" s="412"/>
      <c r="K82" s="412"/>
      <c r="L82" s="420"/>
      <c r="M82" s="412"/>
      <c r="N82" s="404">
        <f t="shared" si="35"/>
        <v>0</v>
      </c>
      <c r="O82" s="411"/>
      <c r="P82" s="404">
        <f t="shared" si="36"/>
        <v>0</v>
      </c>
      <c r="Q82" s="401">
        <f t="shared" si="37"/>
        <v>0</v>
      </c>
      <c r="R82" s="293">
        <f>+(Q82/Q85)*100</f>
        <v>0</v>
      </c>
    </row>
    <row r="83" spans="1:18" x14ac:dyDescent="0.2">
      <c r="A83" s="1443"/>
      <c r="B83" s="290" t="s">
        <v>486</v>
      </c>
      <c r="C83" s="411"/>
      <c r="D83" s="420"/>
      <c r="E83" s="420"/>
      <c r="F83" s="420"/>
      <c r="G83" s="412"/>
      <c r="H83" s="412"/>
      <c r="I83" s="406">
        <f t="shared" si="34"/>
        <v>0</v>
      </c>
      <c r="J83" s="412"/>
      <c r="K83" s="412"/>
      <c r="L83" s="412"/>
      <c r="M83" s="412"/>
      <c r="N83" s="404">
        <f t="shared" si="35"/>
        <v>0</v>
      </c>
      <c r="O83" s="411"/>
      <c r="P83" s="404">
        <f t="shared" si="36"/>
        <v>0</v>
      </c>
      <c r="Q83" s="401">
        <f t="shared" si="37"/>
        <v>0</v>
      </c>
      <c r="R83" s="293">
        <f>+(Q83/Q85)*100</f>
        <v>0</v>
      </c>
    </row>
    <row r="84" spans="1:18" ht="12" thickBot="1" x14ac:dyDescent="0.25">
      <c r="A84" s="1444"/>
      <c r="B84" s="300" t="s">
        <v>487</v>
      </c>
      <c r="C84" s="413"/>
      <c r="D84" s="402"/>
      <c r="E84" s="425"/>
      <c r="F84" s="402"/>
      <c r="G84" s="425"/>
      <c r="H84" s="425"/>
      <c r="I84" s="404">
        <f t="shared" si="34"/>
        <v>0</v>
      </c>
      <c r="J84" s="426"/>
      <c r="K84" s="425"/>
      <c r="L84" s="425"/>
      <c r="M84" s="414"/>
      <c r="N84" s="404">
        <f t="shared" si="35"/>
        <v>0</v>
      </c>
      <c r="O84" s="413"/>
      <c r="P84" s="404">
        <f t="shared" si="36"/>
        <v>0</v>
      </c>
      <c r="Q84" s="401">
        <f t="shared" si="37"/>
        <v>0</v>
      </c>
      <c r="R84" s="293">
        <f>+(Q84/Q85)*100</f>
        <v>0</v>
      </c>
    </row>
    <row r="85" spans="1:18" ht="12" thickBot="1" x14ac:dyDescent="0.25">
      <c r="A85" s="304" t="s">
        <v>90</v>
      </c>
      <c r="B85" s="304" t="s">
        <v>90</v>
      </c>
      <c r="C85" s="415"/>
      <c r="D85" s="416">
        <f>SUM(D75:D84)</f>
        <v>39278579</v>
      </c>
      <c r="E85" s="416">
        <f t="shared" ref="E85:O85" si="38">SUM(E75:E84)</f>
        <v>1992160</v>
      </c>
      <c r="F85" s="416">
        <f t="shared" si="38"/>
        <v>104681825</v>
      </c>
      <c r="G85" s="416">
        <f t="shared" si="38"/>
        <v>0</v>
      </c>
      <c r="H85" s="416">
        <f t="shared" si="38"/>
        <v>2585496</v>
      </c>
      <c r="I85" s="416">
        <f t="shared" si="38"/>
        <v>148538060</v>
      </c>
      <c r="J85" s="416">
        <f t="shared" si="38"/>
        <v>0</v>
      </c>
      <c r="K85" s="416">
        <f t="shared" si="38"/>
        <v>0</v>
      </c>
      <c r="L85" s="416">
        <f t="shared" si="38"/>
        <v>76694558</v>
      </c>
      <c r="M85" s="416">
        <f t="shared" si="38"/>
        <v>0</v>
      </c>
      <c r="N85" s="416">
        <f t="shared" si="38"/>
        <v>76694558</v>
      </c>
      <c r="O85" s="416">
        <f t="shared" si="38"/>
        <v>30382531</v>
      </c>
      <c r="P85" s="416">
        <f t="shared" ref="P85" si="39">SUM(P75:P84)</f>
        <v>30382531</v>
      </c>
      <c r="Q85" s="416">
        <f t="shared" ref="Q85:R85" si="40">SUM(Q75:Q84)</f>
        <v>255615149</v>
      </c>
      <c r="R85" s="306">
        <f t="shared" si="40"/>
        <v>100</v>
      </c>
    </row>
  </sheetData>
  <mergeCells count="35">
    <mergeCell ref="A75:A84"/>
    <mergeCell ref="O56:P56"/>
    <mergeCell ref="Q56:R56"/>
    <mergeCell ref="A58:A67"/>
    <mergeCell ref="A73:A74"/>
    <mergeCell ref="B73:B74"/>
    <mergeCell ref="C73:I73"/>
    <mergeCell ref="J73:N73"/>
    <mergeCell ref="O73:P73"/>
    <mergeCell ref="Q73:R73"/>
    <mergeCell ref="A41:A50"/>
    <mergeCell ref="A56:A57"/>
    <mergeCell ref="B56:B57"/>
    <mergeCell ref="C56:I56"/>
    <mergeCell ref="J56:N56"/>
    <mergeCell ref="O22:P22"/>
    <mergeCell ref="Q22:R22"/>
    <mergeCell ref="A24:A33"/>
    <mergeCell ref="A39:A40"/>
    <mergeCell ref="B39:B40"/>
    <mergeCell ref="C39:I39"/>
    <mergeCell ref="J39:N39"/>
    <mergeCell ref="O39:P39"/>
    <mergeCell ref="Q39:R39"/>
    <mergeCell ref="A5:A14"/>
    <mergeCell ref="A22:A23"/>
    <mergeCell ref="B22:B23"/>
    <mergeCell ref="C22:I22"/>
    <mergeCell ref="J22:N22"/>
    <mergeCell ref="A3:A4"/>
    <mergeCell ref="J3:N3"/>
    <mergeCell ref="O3:P3"/>
    <mergeCell ref="Q3:R3"/>
    <mergeCell ref="C3:I3"/>
    <mergeCell ref="B3:B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 PRESUPUESTO 2021
</oddHeader>
    <oddFooter>&amp;L&amp;"Arial,Negrita"&amp;8PROYECTO DE PRESUPUESTO PARA EL AÑO FISCAL 2020
INFORMACIÓN PARA LA COMISIÓN DE PRESUPUESTO Y CUENTA GENERAL DE LA REPÚBLICA DEL CONGRESO DE LA REPÚBLICA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F98"/>
  <sheetViews>
    <sheetView view="pageLayout" zoomScaleNormal="100" workbookViewId="0">
      <selection activeCell="A2" sqref="A2"/>
    </sheetView>
  </sheetViews>
  <sheetFormatPr baseColWidth="10" defaultColWidth="11.28515625" defaultRowHeight="12.75" x14ac:dyDescent="0.2"/>
  <cols>
    <col min="1" max="1" width="60.42578125" customWidth="1"/>
    <col min="2" max="2" width="11.28515625" customWidth="1"/>
    <col min="3" max="3" width="10.85546875" customWidth="1"/>
    <col min="4" max="4" width="11.42578125" customWidth="1"/>
  </cols>
  <sheetData>
    <row r="1" spans="1:4" x14ac:dyDescent="0.2">
      <c r="A1" s="171" t="s">
        <v>406</v>
      </c>
    </row>
    <row r="2" spans="1:4" x14ac:dyDescent="0.2">
      <c r="A2" s="173" t="s">
        <v>460</v>
      </c>
    </row>
    <row r="3" spans="1:4" s="210" customFormat="1" ht="28.35" customHeight="1" x14ac:dyDescent="0.2">
      <c r="A3" s="222" t="s">
        <v>343</v>
      </c>
      <c r="B3" s="223">
        <v>2019</v>
      </c>
      <c r="C3" s="223">
        <v>2020</v>
      </c>
      <c r="D3" s="223">
        <v>2021</v>
      </c>
    </row>
    <row r="4" spans="1:4" x14ac:dyDescent="0.2">
      <c r="A4" s="547" t="s">
        <v>336</v>
      </c>
      <c r="B4" s="430">
        <v>28797109</v>
      </c>
      <c r="C4" s="430">
        <v>23793046</v>
      </c>
      <c r="D4" s="430">
        <v>22434387</v>
      </c>
    </row>
    <row r="5" spans="1:4" s="214" customFormat="1" x14ac:dyDescent="0.2">
      <c r="A5" s="547" t="s">
        <v>337</v>
      </c>
      <c r="B5" s="546">
        <v>52374916</v>
      </c>
      <c r="C5" s="546">
        <v>43916709</v>
      </c>
      <c r="D5" s="430">
        <v>46769958</v>
      </c>
    </row>
    <row r="6" spans="1:4" s="214" customFormat="1" x14ac:dyDescent="0.2">
      <c r="A6" s="547" t="s">
        <v>338</v>
      </c>
      <c r="B6" s="546">
        <v>18015430</v>
      </c>
      <c r="C6" s="546">
        <v>24211646</v>
      </c>
      <c r="D6" s="430">
        <v>24391653</v>
      </c>
    </row>
    <row r="7" spans="1:4" s="214" customFormat="1" x14ac:dyDescent="0.2">
      <c r="A7" s="547" t="s">
        <v>339</v>
      </c>
      <c r="B7" s="546">
        <v>4169891</v>
      </c>
      <c r="C7" s="546">
        <v>4491716</v>
      </c>
      <c r="D7" s="430">
        <v>4810121</v>
      </c>
    </row>
    <row r="8" spans="1:4" s="214" customFormat="1" x14ac:dyDescent="0.2">
      <c r="A8" s="547" t="s">
        <v>340</v>
      </c>
      <c r="B8" s="546">
        <v>18250613</v>
      </c>
      <c r="C8" s="546">
        <v>21816146</v>
      </c>
      <c r="D8" s="430">
        <v>23550695</v>
      </c>
    </row>
    <row r="9" spans="1:4" s="214" customFormat="1" x14ac:dyDescent="0.2">
      <c r="A9" s="547" t="s">
        <v>341</v>
      </c>
      <c r="B9" s="546">
        <v>10622155</v>
      </c>
      <c r="C9" s="546">
        <v>9925716</v>
      </c>
      <c r="D9" s="430">
        <v>10110387</v>
      </c>
    </row>
    <row r="10" spans="1:4" s="214" customFormat="1" x14ac:dyDescent="0.2">
      <c r="A10" s="547" t="s">
        <v>507</v>
      </c>
      <c r="B10" s="546">
        <v>805298</v>
      </c>
      <c r="C10" s="546">
        <v>4686835</v>
      </c>
      <c r="D10" s="430"/>
    </row>
    <row r="11" spans="1:4" s="214" customFormat="1" x14ac:dyDescent="0.2">
      <c r="A11" s="547" t="s">
        <v>493</v>
      </c>
      <c r="B11" s="546">
        <v>896888</v>
      </c>
      <c r="C11" s="546">
        <v>1053377</v>
      </c>
      <c r="D11" s="430">
        <v>1089638</v>
      </c>
    </row>
    <row r="12" spans="1:4" s="214" customFormat="1" x14ac:dyDescent="0.2">
      <c r="A12" s="547" t="s">
        <v>494</v>
      </c>
      <c r="B12" s="546">
        <v>4984625</v>
      </c>
      <c r="C12" s="546">
        <v>5328202</v>
      </c>
      <c r="D12" s="430">
        <v>3995447</v>
      </c>
    </row>
    <row r="13" spans="1:4" s="214" customFormat="1" x14ac:dyDescent="0.2">
      <c r="A13" s="547" t="s">
        <v>511</v>
      </c>
      <c r="B13" s="546"/>
      <c r="C13" s="546">
        <v>0</v>
      </c>
      <c r="D13" s="430"/>
    </row>
    <row r="14" spans="1:4" s="214" customFormat="1" x14ac:dyDescent="0.2">
      <c r="A14" s="547" t="s">
        <v>495</v>
      </c>
      <c r="B14" s="546"/>
      <c r="C14" s="546">
        <v>0</v>
      </c>
      <c r="D14" s="430">
        <v>12607167</v>
      </c>
    </row>
    <row r="15" spans="1:4" s="214" customFormat="1" x14ac:dyDescent="0.2">
      <c r="A15" s="547" t="s">
        <v>496</v>
      </c>
      <c r="B15" s="546">
        <v>266492359</v>
      </c>
      <c r="C15" s="546">
        <v>280598535</v>
      </c>
      <c r="D15" s="430">
        <v>305699121</v>
      </c>
    </row>
    <row r="16" spans="1:4" s="214" customFormat="1" ht="24" x14ac:dyDescent="0.2">
      <c r="A16" s="548" t="s">
        <v>508</v>
      </c>
      <c r="B16" s="546">
        <v>11304025</v>
      </c>
      <c r="C16" s="546">
        <v>0</v>
      </c>
      <c r="D16" s="430"/>
    </row>
    <row r="17" spans="1:4" s="214" customFormat="1" ht="24" x14ac:dyDescent="0.2">
      <c r="A17" s="548" t="s">
        <v>497</v>
      </c>
      <c r="B17" s="546">
        <v>8548000</v>
      </c>
      <c r="C17" s="546">
        <v>7548000</v>
      </c>
      <c r="D17" s="430">
        <v>9148206</v>
      </c>
    </row>
    <row r="18" spans="1:4" s="214" customFormat="1" x14ac:dyDescent="0.2">
      <c r="A18" s="547" t="s">
        <v>498</v>
      </c>
      <c r="B18" s="546">
        <v>925938</v>
      </c>
      <c r="C18" s="546">
        <v>1237923</v>
      </c>
      <c r="D18" s="430">
        <v>605044</v>
      </c>
    </row>
    <row r="19" spans="1:4" s="214" customFormat="1" x14ac:dyDescent="0.2">
      <c r="A19" s="547" t="s">
        <v>499</v>
      </c>
      <c r="B19" s="546">
        <v>34841260</v>
      </c>
      <c r="C19" s="546">
        <v>37880514</v>
      </c>
      <c r="D19" s="430">
        <v>40180523</v>
      </c>
    </row>
    <row r="20" spans="1:4" s="214" customFormat="1" ht="24" x14ac:dyDescent="0.2">
      <c r="A20" s="548" t="s">
        <v>500</v>
      </c>
      <c r="B20" s="546">
        <v>7538910</v>
      </c>
      <c r="C20" s="546">
        <v>7807480</v>
      </c>
      <c r="D20" s="430">
        <v>7785482</v>
      </c>
    </row>
    <row r="21" spans="1:4" s="214" customFormat="1" ht="24" x14ac:dyDescent="0.2">
      <c r="A21" s="548" t="s">
        <v>501</v>
      </c>
      <c r="B21" s="546">
        <v>1232775</v>
      </c>
      <c r="C21" s="546">
        <v>1165857</v>
      </c>
      <c r="D21" s="430">
        <v>1047329</v>
      </c>
    </row>
    <row r="22" spans="1:4" s="214" customFormat="1" x14ac:dyDescent="0.2">
      <c r="A22" s="548" t="s">
        <v>509</v>
      </c>
      <c r="B22" s="546">
        <v>165768</v>
      </c>
      <c r="C22" s="546">
        <v>3165</v>
      </c>
      <c r="D22" s="430"/>
    </row>
    <row r="23" spans="1:4" s="214" customFormat="1" x14ac:dyDescent="0.2">
      <c r="A23" s="548" t="s">
        <v>514</v>
      </c>
      <c r="B23" s="546">
        <v>0</v>
      </c>
      <c r="C23" s="546"/>
      <c r="D23" s="430"/>
    </row>
    <row r="24" spans="1:4" s="214" customFormat="1" x14ac:dyDescent="0.2">
      <c r="A24" s="548" t="s">
        <v>510</v>
      </c>
      <c r="B24" s="546">
        <v>3071018</v>
      </c>
      <c r="C24" s="546">
        <v>228170</v>
      </c>
      <c r="D24" s="430"/>
    </row>
    <row r="25" spans="1:4" s="214" customFormat="1" ht="24" x14ac:dyDescent="0.2">
      <c r="A25" s="548" t="s">
        <v>502</v>
      </c>
      <c r="B25" s="546">
        <v>3052127</v>
      </c>
      <c r="C25" s="546">
        <v>3431753</v>
      </c>
      <c r="D25" s="430">
        <v>3105861</v>
      </c>
    </row>
    <row r="26" spans="1:4" s="214" customFormat="1" x14ac:dyDescent="0.2">
      <c r="A26" s="547" t="s">
        <v>503</v>
      </c>
      <c r="B26" s="546">
        <v>3896033</v>
      </c>
      <c r="C26" s="546">
        <v>6179092</v>
      </c>
      <c r="D26" s="430">
        <v>9174832</v>
      </c>
    </row>
    <row r="27" spans="1:4" s="214" customFormat="1" x14ac:dyDescent="0.2">
      <c r="A27" s="547" t="s">
        <v>504</v>
      </c>
      <c r="B27" s="546">
        <v>6343732</v>
      </c>
      <c r="C27" s="546">
        <v>16582735</v>
      </c>
      <c r="D27" s="430">
        <v>3675454</v>
      </c>
    </row>
    <row r="28" spans="1:4" s="214" customFormat="1" x14ac:dyDescent="0.2">
      <c r="A28" s="547" t="s">
        <v>512</v>
      </c>
      <c r="B28" s="546"/>
      <c r="C28" s="546">
        <v>0</v>
      </c>
      <c r="D28" s="430"/>
    </row>
    <row r="29" spans="1:4" s="214" customFormat="1" ht="24" x14ac:dyDescent="0.2">
      <c r="A29" s="548" t="s">
        <v>513</v>
      </c>
      <c r="B29" s="546"/>
      <c r="C29" s="546">
        <v>600583</v>
      </c>
      <c r="D29" s="430"/>
    </row>
    <row r="30" spans="1:4" s="214" customFormat="1" x14ac:dyDescent="0.2">
      <c r="A30" s="547" t="s">
        <v>342</v>
      </c>
      <c r="B30" s="546">
        <v>2175</v>
      </c>
      <c r="C30" s="546">
        <v>33725</v>
      </c>
      <c r="D30" s="430">
        <v>32175</v>
      </c>
    </row>
    <row r="31" spans="1:4" s="214" customFormat="1" ht="24" x14ac:dyDescent="0.2">
      <c r="A31" s="548" t="s">
        <v>505</v>
      </c>
      <c r="B31" s="546"/>
      <c r="C31" s="546">
        <v>3615</v>
      </c>
      <c r="D31" s="430">
        <v>3885</v>
      </c>
    </row>
    <row r="32" spans="1:4" s="214" customFormat="1" x14ac:dyDescent="0.2">
      <c r="A32" s="547" t="s">
        <v>506</v>
      </c>
      <c r="B32" s="546"/>
      <c r="C32" s="546"/>
      <c r="D32" s="430">
        <v>1116717</v>
      </c>
    </row>
    <row r="33" spans="1:4" s="219" customFormat="1" ht="22.5" customHeight="1" x14ac:dyDescent="0.2">
      <c r="A33" s="220" t="s">
        <v>327</v>
      </c>
      <c r="B33" s="389">
        <f>SUM(B4:B32)</f>
        <v>486331045</v>
      </c>
      <c r="C33" s="389">
        <f t="shared" ref="C33:D33" si="0">SUM(C4:C32)</f>
        <v>502524540</v>
      </c>
      <c r="D33" s="389">
        <f t="shared" si="0"/>
        <v>531334082</v>
      </c>
    </row>
    <row r="35" spans="1:4" s="210" customFormat="1" ht="28.35" customHeight="1" x14ac:dyDescent="0.2">
      <c r="A35" s="222" t="s">
        <v>344</v>
      </c>
      <c r="B35" s="223">
        <v>2019</v>
      </c>
      <c r="C35" s="223" t="s">
        <v>400</v>
      </c>
      <c r="D35" s="223" t="s">
        <v>401</v>
      </c>
    </row>
    <row r="36" spans="1:4" x14ac:dyDescent="0.2">
      <c r="A36" s="547" t="s">
        <v>336</v>
      </c>
      <c r="B36" s="430">
        <v>38989306</v>
      </c>
      <c r="C36" s="430">
        <v>30056251</v>
      </c>
      <c r="D36" s="430">
        <v>22434387</v>
      </c>
    </row>
    <row r="37" spans="1:4" s="214" customFormat="1" x14ac:dyDescent="0.2">
      <c r="A37" s="547" t="s">
        <v>337</v>
      </c>
      <c r="B37" s="546">
        <v>65544203</v>
      </c>
      <c r="C37" s="546">
        <v>53941629</v>
      </c>
      <c r="D37" s="430">
        <v>46769958</v>
      </c>
    </row>
    <row r="38" spans="1:4" s="214" customFormat="1" x14ac:dyDescent="0.2">
      <c r="A38" s="547" t="s">
        <v>338</v>
      </c>
      <c r="B38" s="546">
        <v>22407229</v>
      </c>
      <c r="C38" s="546">
        <v>24590918</v>
      </c>
      <c r="D38" s="430">
        <v>24391653</v>
      </c>
    </row>
    <row r="39" spans="1:4" s="214" customFormat="1" x14ac:dyDescent="0.2">
      <c r="A39" s="547" t="s">
        <v>339</v>
      </c>
      <c r="B39" s="546">
        <v>4238086</v>
      </c>
      <c r="C39" s="546">
        <v>4696657</v>
      </c>
      <c r="D39" s="430">
        <v>4810121</v>
      </c>
    </row>
    <row r="40" spans="1:4" s="214" customFormat="1" x14ac:dyDescent="0.2">
      <c r="A40" s="547" t="s">
        <v>340</v>
      </c>
      <c r="B40" s="546">
        <v>26115004</v>
      </c>
      <c r="C40" s="546">
        <v>29254553</v>
      </c>
      <c r="D40" s="430">
        <v>23550695</v>
      </c>
    </row>
    <row r="41" spans="1:4" s="214" customFormat="1" x14ac:dyDescent="0.2">
      <c r="A41" s="547" t="s">
        <v>341</v>
      </c>
      <c r="B41" s="546">
        <v>12067771</v>
      </c>
      <c r="C41" s="546">
        <v>10933271</v>
      </c>
      <c r="D41" s="430">
        <v>10110387</v>
      </c>
    </row>
    <row r="42" spans="1:4" s="214" customFormat="1" x14ac:dyDescent="0.2">
      <c r="A42" s="547" t="s">
        <v>507</v>
      </c>
      <c r="B42" s="546">
        <v>805298</v>
      </c>
      <c r="C42" s="546">
        <v>472397</v>
      </c>
      <c r="D42" s="430"/>
    </row>
    <row r="43" spans="1:4" s="214" customFormat="1" x14ac:dyDescent="0.2">
      <c r="A43" s="547" t="s">
        <v>493</v>
      </c>
      <c r="B43" s="546">
        <v>1204760</v>
      </c>
      <c r="C43" s="546">
        <v>1145284</v>
      </c>
      <c r="D43" s="430">
        <v>1089638</v>
      </c>
    </row>
    <row r="44" spans="1:4" s="214" customFormat="1" x14ac:dyDescent="0.2">
      <c r="A44" s="547" t="s">
        <v>494</v>
      </c>
      <c r="B44" s="546">
        <v>6651233</v>
      </c>
      <c r="C44" s="546">
        <v>12221395</v>
      </c>
      <c r="D44" s="430">
        <v>3995447</v>
      </c>
    </row>
    <row r="45" spans="1:4" s="214" customFormat="1" x14ac:dyDescent="0.2">
      <c r="A45" s="547" t="s">
        <v>511</v>
      </c>
      <c r="B45" s="546">
        <v>0</v>
      </c>
      <c r="C45" s="546">
        <v>2840313</v>
      </c>
      <c r="D45" s="430"/>
    </row>
    <row r="46" spans="1:4" s="214" customFormat="1" x14ac:dyDescent="0.2">
      <c r="A46" s="547" t="s">
        <v>495</v>
      </c>
      <c r="B46" s="546">
        <v>0</v>
      </c>
      <c r="C46" s="546">
        <v>6480834</v>
      </c>
      <c r="D46" s="430">
        <v>12607167</v>
      </c>
    </row>
    <row r="47" spans="1:4" s="214" customFormat="1" x14ac:dyDescent="0.2">
      <c r="A47" s="547" t="s">
        <v>496</v>
      </c>
      <c r="B47" s="546">
        <v>292709196</v>
      </c>
      <c r="C47" s="546">
        <v>309593784</v>
      </c>
      <c r="D47" s="430">
        <v>305699121</v>
      </c>
    </row>
    <row r="48" spans="1:4" s="214" customFormat="1" ht="24" x14ac:dyDescent="0.2">
      <c r="A48" s="548" t="s">
        <v>508</v>
      </c>
      <c r="B48" s="546">
        <v>16231195</v>
      </c>
      <c r="C48" s="546">
        <v>0</v>
      </c>
      <c r="D48" s="430"/>
    </row>
    <row r="49" spans="1:4" s="214" customFormat="1" ht="24" x14ac:dyDescent="0.2">
      <c r="A49" s="548" t="s">
        <v>497</v>
      </c>
      <c r="B49" s="546">
        <v>11175603</v>
      </c>
      <c r="C49" s="546">
        <v>8046127</v>
      </c>
      <c r="D49" s="430">
        <v>9148206</v>
      </c>
    </row>
    <row r="50" spans="1:4" s="214" customFormat="1" x14ac:dyDescent="0.2">
      <c r="A50" s="547" t="s">
        <v>498</v>
      </c>
      <c r="B50" s="546">
        <v>1378278</v>
      </c>
      <c r="C50" s="546">
        <v>1197581</v>
      </c>
      <c r="D50" s="430">
        <v>605044</v>
      </c>
    </row>
    <row r="51" spans="1:4" s="214" customFormat="1" x14ac:dyDescent="0.2">
      <c r="A51" s="547" t="s">
        <v>499</v>
      </c>
      <c r="B51" s="546">
        <v>36345132</v>
      </c>
      <c r="C51" s="546">
        <v>39598049</v>
      </c>
      <c r="D51" s="430">
        <v>40180523</v>
      </c>
    </row>
    <row r="52" spans="1:4" s="214" customFormat="1" ht="24" x14ac:dyDescent="0.2">
      <c r="A52" s="548" t="s">
        <v>500</v>
      </c>
      <c r="B52" s="546">
        <v>8414216</v>
      </c>
      <c r="C52" s="546">
        <v>8620969</v>
      </c>
      <c r="D52" s="430">
        <v>7785482</v>
      </c>
    </row>
    <row r="53" spans="1:4" s="214" customFormat="1" ht="24" x14ac:dyDescent="0.2">
      <c r="A53" s="548" t="s">
        <v>501</v>
      </c>
      <c r="B53" s="546">
        <v>1421526</v>
      </c>
      <c r="C53" s="546">
        <v>1177838</v>
      </c>
      <c r="D53" s="430">
        <v>1047329</v>
      </c>
    </row>
    <row r="54" spans="1:4" s="214" customFormat="1" x14ac:dyDescent="0.2">
      <c r="A54" s="548" t="s">
        <v>509</v>
      </c>
      <c r="B54" s="546">
        <v>165768</v>
      </c>
      <c r="C54" s="546">
        <v>3165</v>
      </c>
      <c r="D54" s="430"/>
    </row>
    <row r="55" spans="1:4" s="214" customFormat="1" x14ac:dyDescent="0.2">
      <c r="A55" s="548" t="s">
        <v>514</v>
      </c>
      <c r="B55" s="546">
        <v>94818</v>
      </c>
      <c r="C55" s="546"/>
      <c r="D55" s="430"/>
    </row>
    <row r="56" spans="1:4" s="214" customFormat="1" x14ac:dyDescent="0.2">
      <c r="A56" s="548" t="s">
        <v>510</v>
      </c>
      <c r="B56" s="546">
        <v>3071018</v>
      </c>
      <c r="C56" s="546">
        <v>228170</v>
      </c>
      <c r="D56" s="430"/>
    </row>
    <row r="57" spans="1:4" s="214" customFormat="1" ht="24" x14ac:dyDescent="0.2">
      <c r="A57" s="548" t="s">
        <v>502</v>
      </c>
      <c r="B57" s="546">
        <v>4120537</v>
      </c>
      <c r="C57" s="546">
        <v>4793885</v>
      </c>
      <c r="D57" s="430">
        <v>3105861</v>
      </c>
    </row>
    <row r="58" spans="1:4" s="214" customFormat="1" x14ac:dyDescent="0.2">
      <c r="A58" s="547" t="s">
        <v>503</v>
      </c>
      <c r="B58" s="546">
        <v>8049104</v>
      </c>
      <c r="C58" s="546">
        <v>9659009</v>
      </c>
      <c r="D58" s="430">
        <v>9174832</v>
      </c>
    </row>
    <row r="59" spans="1:4" s="214" customFormat="1" x14ac:dyDescent="0.2">
      <c r="A59" s="547" t="s">
        <v>504</v>
      </c>
      <c r="B59" s="546">
        <v>9985737</v>
      </c>
      <c r="C59" s="546">
        <v>14703682</v>
      </c>
      <c r="D59" s="430">
        <v>3675454</v>
      </c>
    </row>
    <row r="60" spans="1:4" s="214" customFormat="1" x14ac:dyDescent="0.2">
      <c r="A60" s="547" t="s">
        <v>512</v>
      </c>
      <c r="B60" s="546">
        <v>0</v>
      </c>
      <c r="C60" s="546">
        <v>127831</v>
      </c>
      <c r="D60" s="430"/>
    </row>
    <row r="61" spans="1:4" s="214" customFormat="1" ht="24" x14ac:dyDescent="0.2">
      <c r="A61" s="548" t="s">
        <v>513</v>
      </c>
      <c r="B61" s="546">
        <v>405583</v>
      </c>
      <c r="C61" s="546">
        <v>600583</v>
      </c>
      <c r="D61" s="430"/>
    </row>
    <row r="62" spans="1:4" s="214" customFormat="1" x14ac:dyDescent="0.2">
      <c r="A62" s="547" t="s">
        <v>342</v>
      </c>
      <c r="B62" s="546">
        <v>22175</v>
      </c>
      <c r="C62" s="546">
        <v>61075</v>
      </c>
      <c r="D62" s="430">
        <v>32175</v>
      </c>
    </row>
    <row r="63" spans="1:4" s="214" customFormat="1" ht="24" x14ac:dyDescent="0.2">
      <c r="A63" s="548" t="s">
        <v>505</v>
      </c>
      <c r="B63" s="546">
        <v>0</v>
      </c>
      <c r="C63" s="546">
        <v>595242</v>
      </c>
      <c r="D63" s="430">
        <v>3885</v>
      </c>
    </row>
    <row r="64" spans="1:4" s="214" customFormat="1" x14ac:dyDescent="0.2">
      <c r="A64" s="547" t="s">
        <v>506</v>
      </c>
      <c r="B64" s="546">
        <v>0</v>
      </c>
      <c r="C64" s="546">
        <v>0</v>
      </c>
      <c r="D64" s="430">
        <v>1116717</v>
      </c>
    </row>
    <row r="65" spans="1:6" s="219" customFormat="1" ht="22.5" customHeight="1" x14ac:dyDescent="0.2">
      <c r="A65" s="220" t="s">
        <v>327</v>
      </c>
      <c r="B65" s="218">
        <f>SUM(B36:B64)</f>
        <v>571612776</v>
      </c>
      <c r="C65" s="218">
        <f>SUM(C36:C64)</f>
        <v>575640492</v>
      </c>
      <c r="D65" s="218">
        <f>SUM(D36:D64)</f>
        <v>531334082</v>
      </c>
      <c r="F65" s="219">
        <v>1257945038</v>
      </c>
    </row>
    <row r="66" spans="1:6" x14ac:dyDescent="0.2">
      <c r="F66">
        <v>522690359</v>
      </c>
    </row>
    <row r="67" spans="1:6" s="210" customFormat="1" ht="28.35" customHeight="1" x14ac:dyDescent="0.2">
      <c r="A67" s="222" t="s">
        <v>345</v>
      </c>
      <c r="B67" s="223">
        <v>2019</v>
      </c>
      <c r="C67" s="223" t="s">
        <v>400</v>
      </c>
      <c r="D67" s="223" t="s">
        <v>401</v>
      </c>
      <c r="F67" s="210">
        <v>163641903</v>
      </c>
    </row>
    <row r="68" spans="1:6" x14ac:dyDescent="0.2">
      <c r="A68" s="547" t="s">
        <v>336</v>
      </c>
      <c r="B68" s="430">
        <v>33612088.219999999</v>
      </c>
      <c r="C68" s="430">
        <v>30056251</v>
      </c>
      <c r="D68" s="430">
        <v>22434387</v>
      </c>
      <c r="F68">
        <f>+F65-F66-F67</f>
        <v>571612776</v>
      </c>
    </row>
    <row r="69" spans="1:6" s="214" customFormat="1" x14ac:dyDescent="0.2">
      <c r="A69" s="547" t="s">
        <v>337</v>
      </c>
      <c r="B69" s="546">
        <v>57781889.75</v>
      </c>
      <c r="C69" s="546">
        <v>53941629</v>
      </c>
      <c r="D69" s="430">
        <v>46769958</v>
      </c>
    </row>
    <row r="70" spans="1:6" s="214" customFormat="1" x14ac:dyDescent="0.2">
      <c r="A70" s="547" t="s">
        <v>338</v>
      </c>
      <c r="B70" s="546">
        <v>18492551.98</v>
      </c>
      <c r="C70" s="546">
        <v>24590918</v>
      </c>
      <c r="D70" s="430">
        <v>24391653</v>
      </c>
    </row>
    <row r="71" spans="1:6" s="214" customFormat="1" x14ac:dyDescent="0.2">
      <c r="A71" s="547" t="s">
        <v>339</v>
      </c>
      <c r="B71" s="546">
        <v>3830163.25</v>
      </c>
      <c r="C71" s="546">
        <v>4696657</v>
      </c>
      <c r="D71" s="430">
        <v>4810121</v>
      </c>
    </row>
    <row r="72" spans="1:6" s="214" customFormat="1" x14ac:dyDescent="0.2">
      <c r="A72" s="547" t="s">
        <v>340</v>
      </c>
      <c r="B72" s="546">
        <v>22114335.460000001</v>
      </c>
      <c r="C72" s="546">
        <v>29254553</v>
      </c>
      <c r="D72" s="430">
        <v>23550695</v>
      </c>
    </row>
    <row r="73" spans="1:6" s="214" customFormat="1" x14ac:dyDescent="0.2">
      <c r="A73" s="547" t="s">
        <v>341</v>
      </c>
      <c r="B73" s="546">
        <v>10104673.67</v>
      </c>
      <c r="C73" s="546">
        <v>10933271</v>
      </c>
      <c r="D73" s="430">
        <v>10110387</v>
      </c>
    </row>
    <row r="74" spans="1:6" s="214" customFormat="1" x14ac:dyDescent="0.2">
      <c r="A74" s="547" t="s">
        <v>507</v>
      </c>
      <c r="B74" s="546">
        <v>0</v>
      </c>
      <c r="C74" s="546">
        <v>472397</v>
      </c>
      <c r="D74" s="430"/>
    </row>
    <row r="75" spans="1:6" s="214" customFormat="1" x14ac:dyDescent="0.2">
      <c r="A75" s="547" t="s">
        <v>493</v>
      </c>
      <c r="B75" s="546">
        <v>908574.59</v>
      </c>
      <c r="C75" s="546">
        <v>1145284</v>
      </c>
      <c r="D75" s="430">
        <v>1089638</v>
      </c>
    </row>
    <row r="76" spans="1:6" s="214" customFormat="1" x14ac:dyDescent="0.2">
      <c r="A76" s="547" t="s">
        <v>494</v>
      </c>
      <c r="B76" s="546">
        <v>2384044.98</v>
      </c>
      <c r="C76" s="546">
        <v>12221395</v>
      </c>
      <c r="D76" s="430">
        <v>3995447</v>
      </c>
    </row>
    <row r="77" spans="1:6" s="214" customFormat="1" x14ac:dyDescent="0.2">
      <c r="A77" s="547" t="s">
        <v>511</v>
      </c>
      <c r="B77" s="546">
        <v>0</v>
      </c>
      <c r="C77" s="546">
        <v>2840313</v>
      </c>
      <c r="D77" s="430"/>
    </row>
    <row r="78" spans="1:6" s="214" customFormat="1" x14ac:dyDescent="0.2">
      <c r="A78" s="547" t="s">
        <v>495</v>
      </c>
      <c r="B78" s="546">
        <v>0</v>
      </c>
      <c r="C78" s="546">
        <v>6480834</v>
      </c>
      <c r="D78" s="430">
        <v>12607167</v>
      </c>
    </row>
    <row r="79" spans="1:6" s="214" customFormat="1" x14ac:dyDescent="0.2">
      <c r="A79" s="547" t="s">
        <v>496</v>
      </c>
      <c r="B79" s="546">
        <v>281435041.88</v>
      </c>
      <c r="C79" s="546">
        <v>309593784</v>
      </c>
      <c r="D79" s="430">
        <v>305699121</v>
      </c>
    </row>
    <row r="80" spans="1:6" s="214" customFormat="1" ht="24" x14ac:dyDescent="0.2">
      <c r="A80" s="548" t="s">
        <v>508</v>
      </c>
      <c r="B80" s="546">
        <v>8807654.9000000004</v>
      </c>
      <c r="C80" s="546">
        <v>0</v>
      </c>
      <c r="D80" s="430"/>
    </row>
    <row r="81" spans="1:4" s="214" customFormat="1" ht="24" x14ac:dyDescent="0.2">
      <c r="A81" s="548" t="s">
        <v>497</v>
      </c>
      <c r="B81" s="546">
        <v>6546095.5599999996</v>
      </c>
      <c r="C81" s="546">
        <v>8046127</v>
      </c>
      <c r="D81" s="430">
        <v>9148206</v>
      </c>
    </row>
    <row r="82" spans="1:4" s="214" customFormat="1" x14ac:dyDescent="0.2">
      <c r="A82" s="547" t="s">
        <v>498</v>
      </c>
      <c r="B82" s="546">
        <v>272564.14</v>
      </c>
      <c r="C82" s="546">
        <v>1197581</v>
      </c>
      <c r="D82" s="430">
        <v>605044</v>
      </c>
    </row>
    <row r="83" spans="1:4" s="214" customFormat="1" x14ac:dyDescent="0.2">
      <c r="A83" s="547" t="s">
        <v>499</v>
      </c>
      <c r="B83" s="546">
        <v>35149044.710000001</v>
      </c>
      <c r="C83" s="546">
        <v>39598049</v>
      </c>
      <c r="D83" s="430">
        <v>40180523</v>
      </c>
    </row>
    <row r="84" spans="1:4" s="214" customFormat="1" ht="24" x14ac:dyDescent="0.2">
      <c r="A84" s="548" t="s">
        <v>500</v>
      </c>
      <c r="B84" s="546">
        <v>7703359.3300000001</v>
      </c>
      <c r="C84" s="546">
        <v>8620969</v>
      </c>
      <c r="D84" s="430">
        <v>7785482</v>
      </c>
    </row>
    <row r="85" spans="1:4" s="214" customFormat="1" ht="24" x14ac:dyDescent="0.2">
      <c r="A85" s="548" t="s">
        <v>501</v>
      </c>
      <c r="B85" s="546">
        <v>1030721.91</v>
      </c>
      <c r="C85" s="546">
        <v>1177838</v>
      </c>
      <c r="D85" s="430">
        <v>1047329</v>
      </c>
    </row>
    <row r="86" spans="1:4" s="214" customFormat="1" x14ac:dyDescent="0.2">
      <c r="A86" s="548" t="s">
        <v>509</v>
      </c>
      <c r="B86" s="546">
        <v>0</v>
      </c>
      <c r="C86" s="546">
        <v>3165</v>
      </c>
      <c r="D86" s="430"/>
    </row>
    <row r="87" spans="1:4" s="214" customFormat="1" x14ac:dyDescent="0.2">
      <c r="A87" s="548" t="s">
        <v>514</v>
      </c>
      <c r="B87" s="546">
        <v>22910.29</v>
      </c>
      <c r="C87" s="546"/>
      <c r="D87" s="430"/>
    </row>
    <row r="88" spans="1:4" s="214" customFormat="1" x14ac:dyDescent="0.2">
      <c r="A88" s="548" t="s">
        <v>510</v>
      </c>
      <c r="B88" s="546">
        <v>0</v>
      </c>
      <c r="C88" s="546">
        <v>228170</v>
      </c>
      <c r="D88" s="430"/>
    </row>
    <row r="89" spans="1:4" s="214" customFormat="1" ht="24" x14ac:dyDescent="0.2">
      <c r="A89" s="548" t="s">
        <v>502</v>
      </c>
      <c r="B89" s="546">
        <v>3117004.87</v>
      </c>
      <c r="C89" s="546">
        <v>4793885</v>
      </c>
      <c r="D89" s="430">
        <v>3105861</v>
      </c>
    </row>
    <row r="90" spans="1:4" s="214" customFormat="1" x14ac:dyDescent="0.2">
      <c r="A90" s="547" t="s">
        <v>503</v>
      </c>
      <c r="B90" s="546">
        <v>6551245.7599999998</v>
      </c>
      <c r="C90" s="546">
        <v>9659009</v>
      </c>
      <c r="D90" s="430">
        <v>9174832</v>
      </c>
    </row>
    <row r="91" spans="1:4" s="214" customFormat="1" x14ac:dyDescent="0.2">
      <c r="A91" s="547" t="s">
        <v>504</v>
      </c>
      <c r="B91" s="546">
        <v>2015177.35</v>
      </c>
      <c r="C91" s="546">
        <v>14703682</v>
      </c>
      <c r="D91" s="430">
        <v>3675454</v>
      </c>
    </row>
    <row r="92" spans="1:4" s="214" customFormat="1" ht="24" x14ac:dyDescent="0.2">
      <c r="A92" s="548" t="s">
        <v>513</v>
      </c>
      <c r="B92" s="546">
        <v>0</v>
      </c>
      <c r="C92" s="546"/>
      <c r="D92" s="430"/>
    </row>
    <row r="93" spans="1:4" s="214" customFormat="1" x14ac:dyDescent="0.2">
      <c r="A93" s="547" t="s">
        <v>342</v>
      </c>
      <c r="B93" s="546">
        <v>16663.150000000001</v>
      </c>
      <c r="C93" s="546">
        <v>61075</v>
      </c>
      <c r="D93" s="430">
        <v>32175</v>
      </c>
    </row>
    <row r="94" spans="1:4" s="214" customFormat="1" ht="24" x14ac:dyDescent="0.2">
      <c r="A94" s="548" t="s">
        <v>505</v>
      </c>
      <c r="B94" s="546">
        <v>0</v>
      </c>
      <c r="C94" s="546">
        <v>595242</v>
      </c>
      <c r="D94" s="430">
        <v>3885</v>
      </c>
    </row>
    <row r="95" spans="1:4" s="214" customFormat="1" x14ac:dyDescent="0.2">
      <c r="A95" s="547" t="s">
        <v>506</v>
      </c>
      <c r="B95" s="546">
        <v>0</v>
      </c>
      <c r="C95" s="546">
        <v>0</v>
      </c>
      <c r="D95" s="430">
        <v>1116717</v>
      </c>
    </row>
    <row r="96" spans="1:4" s="219" customFormat="1" ht="22.5" customHeight="1" x14ac:dyDescent="0.2">
      <c r="A96" s="220" t="s">
        <v>327</v>
      </c>
      <c r="B96" s="389">
        <f>SUM(B68:B95)</f>
        <v>501895805.74999994</v>
      </c>
      <c r="C96" s="389">
        <f>SUM(C68:C95)</f>
        <v>574912078</v>
      </c>
      <c r="D96" s="389">
        <f>SUM(D68:D95)</f>
        <v>531334082</v>
      </c>
    </row>
    <row r="97" spans="1:1" x14ac:dyDescent="0.2">
      <c r="A97" s="375" t="s">
        <v>402</v>
      </c>
    </row>
    <row r="98" spans="1:1" x14ac:dyDescent="0.2">
      <c r="A98" s="376" t="s">
        <v>403</v>
      </c>
    </row>
  </sheetData>
  <pageMargins left="0.46875" right="0.51181102362204722" top="0.74803149606299213" bottom="0.74803149606299213" header="0.31496062992125984" footer="0.31496062992125984"/>
  <pageSetup paperSize="9" orientation="portrait" r:id="rId1"/>
  <headerFooter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>
    <tabColor rgb="FF0070C0"/>
  </sheetPr>
  <dimension ref="A1:N384"/>
  <sheetViews>
    <sheetView view="pageLayout" topLeftCell="A112" zoomScale="90" zoomScaleNormal="100" zoomScaleSheetLayoutView="70" zoomScalePageLayoutView="90" workbookViewId="0">
      <selection activeCell="A112" sqref="A112:N163"/>
    </sheetView>
  </sheetViews>
  <sheetFormatPr baseColWidth="10" defaultColWidth="11.28515625" defaultRowHeight="11.25" x14ac:dyDescent="0.2"/>
  <cols>
    <col min="1" max="1" width="29.5703125" style="183" customWidth="1"/>
    <col min="2" max="2" width="9.28515625" style="183" customWidth="1"/>
    <col min="3" max="3" width="9.140625" style="183" customWidth="1"/>
    <col min="4" max="4" width="8.7109375" style="221" customWidth="1"/>
    <col min="5" max="5" width="9.140625" style="221" customWidth="1"/>
    <col min="6" max="7" width="9.5703125" style="183" customWidth="1"/>
    <col min="8" max="8" width="9.140625" style="183" customWidth="1"/>
    <col min="9" max="14" width="8.7109375" style="183" customWidth="1"/>
    <col min="15" max="16384" width="11.28515625" style="183"/>
  </cols>
  <sheetData>
    <row r="1" spans="1:14" s="179" customFormat="1" ht="14.25" customHeight="1" x14ac:dyDescent="0.2">
      <c r="A1" s="307" t="s">
        <v>407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</row>
    <row r="2" spans="1:14" s="179" customFormat="1" ht="14.25" customHeight="1" x14ac:dyDescent="0.2">
      <c r="A2" s="181" t="s">
        <v>460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4" s="182" customFormat="1" ht="12" thickBot="1" x14ac:dyDescent="0.25">
      <c r="A3" s="173" t="s">
        <v>1395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s="184" customFormat="1" ht="12.75" customHeight="1" thickBot="1" x14ac:dyDescent="0.25">
      <c r="A4" s="1450" t="s">
        <v>212</v>
      </c>
      <c r="B4" s="1448" t="s">
        <v>245</v>
      </c>
      <c r="C4" s="1449"/>
      <c r="D4" s="1449"/>
      <c r="E4" s="1449"/>
      <c r="F4" s="1445" t="s">
        <v>246</v>
      </c>
      <c r="G4" s="1446"/>
      <c r="H4" s="1447"/>
      <c r="I4" s="1445" t="s">
        <v>244</v>
      </c>
      <c r="J4" s="1446"/>
      <c r="K4" s="1446"/>
      <c r="L4" s="1446"/>
      <c r="M4" s="1446"/>
      <c r="N4" s="1447"/>
    </row>
    <row r="5" spans="1:14" s="199" customFormat="1" ht="84.95" customHeight="1" thickBot="1" x14ac:dyDescent="0.25">
      <c r="A5" s="1451"/>
      <c r="B5" s="309">
        <v>2019</v>
      </c>
      <c r="C5" s="310">
        <v>2020</v>
      </c>
      <c r="D5" s="310" t="s">
        <v>408</v>
      </c>
      <c r="E5" s="312" t="s">
        <v>409</v>
      </c>
      <c r="F5" s="309">
        <v>2019</v>
      </c>
      <c r="G5" s="310">
        <v>2020</v>
      </c>
      <c r="H5" s="310" t="s">
        <v>408</v>
      </c>
      <c r="I5" s="309">
        <v>2019</v>
      </c>
      <c r="J5" s="310" t="s">
        <v>400</v>
      </c>
      <c r="K5" s="310" t="s">
        <v>408</v>
      </c>
      <c r="L5" s="311" t="s">
        <v>410</v>
      </c>
      <c r="M5" s="311" t="s">
        <v>409</v>
      </c>
      <c r="N5" s="312" t="s">
        <v>411</v>
      </c>
    </row>
    <row r="6" spans="1:14" x14ac:dyDescent="0.2">
      <c r="A6" s="313"/>
      <c r="B6" s="314"/>
      <c r="C6" s="315"/>
      <c r="D6" s="315"/>
      <c r="E6" s="316"/>
      <c r="F6" s="314"/>
      <c r="G6" s="315"/>
      <c r="H6" s="317"/>
      <c r="I6" s="314"/>
      <c r="J6" s="315"/>
      <c r="K6" s="317"/>
      <c r="L6" s="316"/>
      <c r="M6" s="316"/>
      <c r="N6" s="317"/>
    </row>
    <row r="7" spans="1:14" ht="22.5" x14ac:dyDescent="0.2">
      <c r="A7" s="318" t="s">
        <v>243</v>
      </c>
      <c r="B7" s="319"/>
      <c r="C7" s="320"/>
      <c r="D7" s="320"/>
      <c r="E7" s="321"/>
      <c r="F7" s="319"/>
      <c r="G7" s="320"/>
      <c r="H7" s="322"/>
      <c r="I7" s="319"/>
      <c r="J7" s="320"/>
      <c r="K7" s="322"/>
      <c r="L7" s="321"/>
      <c r="M7" s="321"/>
      <c r="N7" s="322"/>
    </row>
    <row r="8" spans="1:14" x14ac:dyDescent="0.2">
      <c r="A8" s="323" t="s">
        <v>213</v>
      </c>
      <c r="B8" s="324"/>
      <c r="C8" s="325"/>
      <c r="D8" s="325"/>
      <c r="E8" s="326"/>
      <c r="F8" s="324"/>
      <c r="G8" s="325"/>
      <c r="H8" s="327"/>
      <c r="I8" s="324"/>
      <c r="J8" s="325"/>
      <c r="K8" s="327"/>
      <c r="L8" s="326"/>
      <c r="M8" s="326"/>
      <c r="N8" s="327"/>
    </row>
    <row r="9" spans="1:14" s="184" customFormat="1" x14ac:dyDescent="0.2">
      <c r="A9" s="328"/>
      <c r="B9" s="324"/>
      <c r="C9" s="325"/>
      <c r="D9" s="325"/>
      <c r="E9" s="326"/>
      <c r="F9" s="324"/>
      <c r="G9" s="325"/>
      <c r="H9" s="327"/>
      <c r="I9" s="324"/>
      <c r="J9" s="325"/>
      <c r="K9" s="327"/>
      <c r="L9" s="326"/>
      <c r="M9" s="326"/>
      <c r="N9" s="327"/>
    </row>
    <row r="10" spans="1:14" x14ac:dyDescent="0.2">
      <c r="A10" s="318" t="s">
        <v>218</v>
      </c>
      <c r="B10" s="324"/>
      <c r="C10" s="325"/>
      <c r="D10" s="325"/>
      <c r="E10" s="326"/>
      <c r="F10" s="324"/>
      <c r="G10" s="325"/>
      <c r="H10" s="327"/>
      <c r="I10" s="324"/>
      <c r="J10" s="325"/>
      <c r="K10" s="327"/>
      <c r="L10" s="326"/>
      <c r="M10" s="326"/>
      <c r="N10" s="327"/>
    </row>
    <row r="11" spans="1:14" x14ac:dyDescent="0.2">
      <c r="A11" s="329" t="s">
        <v>214</v>
      </c>
      <c r="B11" s="324"/>
      <c r="C11" s="325"/>
      <c r="D11" s="325"/>
      <c r="E11" s="326"/>
      <c r="F11" s="324"/>
      <c r="G11" s="325"/>
      <c r="H11" s="327"/>
      <c r="I11" s="324"/>
      <c r="J11" s="325"/>
      <c r="K11" s="327"/>
      <c r="L11" s="326"/>
      <c r="M11" s="326"/>
      <c r="N11" s="327"/>
    </row>
    <row r="12" spans="1:14" x14ac:dyDescent="0.2">
      <c r="A12" s="329" t="s">
        <v>215</v>
      </c>
      <c r="B12" s="324"/>
      <c r="C12" s="325"/>
      <c r="D12" s="325"/>
      <c r="E12" s="326"/>
      <c r="F12" s="324"/>
      <c r="G12" s="325"/>
      <c r="H12" s="327"/>
      <c r="I12" s="324"/>
      <c r="J12" s="325"/>
      <c r="K12" s="327"/>
      <c r="L12" s="326"/>
      <c r="M12" s="326"/>
      <c r="N12" s="327"/>
    </row>
    <row r="13" spans="1:14" x14ac:dyDescent="0.2">
      <c r="A13" s="329" t="s">
        <v>216</v>
      </c>
      <c r="B13" s="324"/>
      <c r="C13" s="325"/>
      <c r="D13" s="325"/>
      <c r="E13" s="326"/>
      <c r="F13" s="324"/>
      <c r="G13" s="325"/>
      <c r="H13" s="327"/>
      <c r="I13" s="324"/>
      <c r="J13" s="325"/>
      <c r="K13" s="327"/>
      <c r="L13" s="326"/>
      <c r="M13" s="326"/>
      <c r="N13" s="327"/>
    </row>
    <row r="14" spans="1:14" x14ac:dyDescent="0.2">
      <c r="A14" s="329" t="s">
        <v>217</v>
      </c>
      <c r="B14" s="324"/>
      <c r="C14" s="325"/>
      <c r="D14" s="325"/>
      <c r="E14" s="326"/>
      <c r="F14" s="324"/>
      <c r="G14" s="325"/>
      <c r="H14" s="327"/>
      <c r="I14" s="324"/>
      <c r="J14" s="325"/>
      <c r="K14" s="327"/>
      <c r="L14" s="326"/>
      <c r="M14" s="326"/>
      <c r="N14" s="327"/>
    </row>
    <row r="15" spans="1:14" x14ac:dyDescent="0.2">
      <c r="A15" s="329"/>
      <c r="B15" s="319"/>
      <c r="C15" s="320"/>
      <c r="D15" s="320"/>
      <c r="E15" s="321"/>
      <c r="F15" s="319"/>
      <c r="G15" s="320"/>
      <c r="H15" s="322"/>
      <c r="I15" s="319"/>
      <c r="J15" s="320"/>
      <c r="K15" s="322"/>
      <c r="L15" s="321"/>
      <c r="M15" s="321"/>
      <c r="N15" s="322"/>
    </row>
    <row r="16" spans="1:14" x14ac:dyDescent="0.2">
      <c r="A16" s="318" t="s">
        <v>237</v>
      </c>
      <c r="B16" s="324"/>
      <c r="C16" s="325"/>
      <c r="D16" s="325"/>
      <c r="E16" s="326"/>
      <c r="F16" s="324"/>
      <c r="G16" s="325"/>
      <c r="H16" s="327"/>
      <c r="I16" s="324"/>
      <c r="J16" s="325"/>
      <c r="K16" s="327"/>
      <c r="L16" s="326"/>
      <c r="M16" s="326"/>
      <c r="N16" s="327"/>
    </row>
    <row r="17" spans="1:14" x14ac:dyDescent="0.2">
      <c r="A17" s="329" t="s">
        <v>219</v>
      </c>
      <c r="B17" s="324"/>
      <c r="C17" s="325"/>
      <c r="D17" s="325"/>
      <c r="E17" s="326"/>
      <c r="F17" s="324"/>
      <c r="G17" s="325"/>
      <c r="H17" s="327"/>
      <c r="I17" s="324"/>
      <c r="J17" s="325"/>
      <c r="K17" s="327"/>
      <c r="L17" s="326"/>
      <c r="M17" s="326"/>
      <c r="N17" s="327"/>
    </row>
    <row r="18" spans="1:14" x14ac:dyDescent="0.2">
      <c r="A18" s="329" t="s">
        <v>220</v>
      </c>
      <c r="B18" s="324"/>
      <c r="C18" s="325"/>
      <c r="D18" s="325"/>
      <c r="E18" s="326"/>
      <c r="F18" s="324"/>
      <c r="G18" s="325"/>
      <c r="H18" s="327"/>
      <c r="I18" s="324"/>
      <c r="J18" s="325"/>
      <c r="K18" s="327"/>
      <c r="L18" s="326"/>
      <c r="M18" s="326"/>
      <c r="N18" s="327"/>
    </row>
    <row r="19" spans="1:14" x14ac:dyDescent="0.2">
      <c r="A19" s="329" t="s">
        <v>221</v>
      </c>
      <c r="B19" s="324"/>
      <c r="C19" s="325"/>
      <c r="D19" s="325"/>
      <c r="E19" s="326"/>
      <c r="F19" s="324"/>
      <c r="G19" s="325"/>
      <c r="H19" s="327"/>
      <c r="I19" s="324"/>
      <c r="J19" s="325"/>
      <c r="K19" s="327"/>
      <c r="L19" s="326"/>
      <c r="M19" s="326"/>
      <c r="N19" s="327"/>
    </row>
    <row r="20" spans="1:14" x14ac:dyDescent="0.2">
      <c r="A20" s="329" t="s">
        <v>222</v>
      </c>
      <c r="B20" s="324"/>
      <c r="C20" s="325"/>
      <c r="D20" s="325"/>
      <c r="E20" s="326"/>
      <c r="F20" s="324"/>
      <c r="G20" s="325"/>
      <c r="H20" s="327"/>
      <c r="I20" s="324"/>
      <c r="J20" s="325"/>
      <c r="K20" s="327"/>
      <c r="L20" s="326"/>
      <c r="M20" s="326"/>
      <c r="N20" s="327"/>
    </row>
    <row r="21" spans="1:14" ht="22.5" x14ac:dyDescent="0.2">
      <c r="A21" s="329" t="s">
        <v>223</v>
      </c>
      <c r="B21" s="324"/>
      <c r="C21" s="325"/>
      <c r="D21" s="325"/>
      <c r="E21" s="326"/>
      <c r="F21" s="324"/>
      <c r="G21" s="325"/>
      <c r="H21" s="327"/>
      <c r="I21" s="324"/>
      <c r="J21" s="325"/>
      <c r="K21" s="327"/>
      <c r="L21" s="326"/>
      <c r="M21" s="326"/>
      <c r="N21" s="327"/>
    </row>
    <row r="22" spans="1:14" x14ac:dyDescent="0.2">
      <c r="A22" s="330"/>
      <c r="B22" s="324"/>
      <c r="C22" s="325"/>
      <c r="D22" s="325"/>
      <c r="E22" s="326"/>
      <c r="F22" s="324"/>
      <c r="G22" s="325"/>
      <c r="H22" s="327"/>
      <c r="I22" s="324"/>
      <c r="J22" s="325"/>
      <c r="K22" s="327"/>
      <c r="L22" s="326"/>
      <c r="M22" s="326"/>
      <c r="N22" s="327"/>
    </row>
    <row r="23" spans="1:14" x14ac:dyDescent="0.2">
      <c r="A23" s="331" t="s">
        <v>238</v>
      </c>
      <c r="B23" s="324"/>
      <c r="C23" s="325"/>
      <c r="D23" s="325"/>
      <c r="E23" s="326"/>
      <c r="F23" s="324"/>
      <c r="G23" s="325"/>
      <c r="H23" s="327"/>
      <c r="I23" s="324"/>
      <c r="J23" s="325"/>
      <c r="K23" s="327"/>
      <c r="L23" s="326"/>
      <c r="M23" s="326"/>
      <c r="N23" s="327"/>
    </row>
    <row r="24" spans="1:14" x14ac:dyDescent="0.2">
      <c r="A24" s="329" t="s">
        <v>224</v>
      </c>
      <c r="B24" s="324"/>
      <c r="C24" s="325"/>
      <c r="D24" s="325"/>
      <c r="E24" s="326"/>
      <c r="F24" s="324"/>
      <c r="G24" s="325"/>
      <c r="H24" s="327"/>
      <c r="I24" s="324"/>
      <c r="J24" s="325"/>
      <c r="K24" s="327"/>
      <c r="L24" s="326"/>
      <c r="M24" s="326"/>
      <c r="N24" s="327"/>
    </row>
    <row r="25" spans="1:14" x14ac:dyDescent="0.2">
      <c r="A25" s="329" t="s">
        <v>225</v>
      </c>
      <c r="B25" s="324"/>
      <c r="C25" s="325"/>
      <c r="D25" s="325"/>
      <c r="E25" s="326"/>
      <c r="F25" s="324"/>
      <c r="G25" s="325"/>
      <c r="H25" s="327"/>
      <c r="I25" s="324"/>
      <c r="J25" s="325"/>
      <c r="K25" s="327"/>
      <c r="L25" s="326"/>
      <c r="M25" s="326"/>
      <c r="N25" s="327"/>
    </row>
    <row r="26" spans="1:14" x14ac:dyDescent="0.2">
      <c r="A26" s="329" t="s">
        <v>226</v>
      </c>
      <c r="B26" s="324"/>
      <c r="C26" s="325"/>
      <c r="D26" s="325"/>
      <c r="E26" s="326"/>
      <c r="F26" s="324"/>
      <c r="G26" s="325"/>
      <c r="H26" s="327"/>
      <c r="I26" s="324"/>
      <c r="J26" s="325"/>
      <c r="K26" s="327"/>
      <c r="L26" s="326"/>
      <c r="M26" s="326"/>
      <c r="N26" s="327"/>
    </row>
    <row r="27" spans="1:14" x14ac:dyDescent="0.2">
      <c r="A27" s="329"/>
      <c r="B27" s="324"/>
      <c r="C27" s="325"/>
      <c r="D27" s="325"/>
      <c r="E27" s="326"/>
      <c r="F27" s="324"/>
      <c r="G27" s="325"/>
      <c r="H27" s="327"/>
      <c r="I27" s="324"/>
      <c r="J27" s="325"/>
      <c r="K27" s="327"/>
      <c r="L27" s="326"/>
      <c r="M27" s="326"/>
      <c r="N27" s="327"/>
    </row>
    <row r="28" spans="1:14" x14ac:dyDescent="0.2">
      <c r="A28" s="331" t="s">
        <v>239</v>
      </c>
      <c r="B28" s="324"/>
      <c r="C28" s="325"/>
      <c r="D28" s="325"/>
      <c r="E28" s="326"/>
      <c r="F28" s="324"/>
      <c r="G28" s="325"/>
      <c r="H28" s="327"/>
      <c r="I28" s="324"/>
      <c r="J28" s="325"/>
      <c r="K28" s="327"/>
      <c r="L28" s="326"/>
      <c r="M28" s="326"/>
      <c r="N28" s="327"/>
    </row>
    <row r="29" spans="1:14" x14ac:dyDescent="0.2">
      <c r="A29" s="329" t="s">
        <v>227</v>
      </c>
      <c r="B29" s="324"/>
      <c r="C29" s="325"/>
      <c r="D29" s="325"/>
      <c r="E29" s="326"/>
      <c r="F29" s="324"/>
      <c r="G29" s="325"/>
      <c r="H29" s="327"/>
      <c r="I29" s="324"/>
      <c r="J29" s="325"/>
      <c r="K29" s="327"/>
      <c r="L29" s="326"/>
      <c r="M29" s="326"/>
      <c r="N29" s="327"/>
    </row>
    <row r="30" spans="1:14" x14ac:dyDescent="0.2">
      <c r="A30" s="329" t="s">
        <v>225</v>
      </c>
      <c r="B30" s="324"/>
      <c r="C30" s="325"/>
      <c r="D30" s="325"/>
      <c r="E30" s="326"/>
      <c r="F30" s="324"/>
      <c r="G30" s="325"/>
      <c r="H30" s="327"/>
      <c r="I30" s="324"/>
      <c r="J30" s="325"/>
      <c r="K30" s="327"/>
      <c r="L30" s="326"/>
      <c r="M30" s="326"/>
      <c r="N30" s="327"/>
    </row>
    <row r="31" spans="1:14" x14ac:dyDescent="0.2">
      <c r="A31" s="329"/>
      <c r="B31" s="324"/>
      <c r="C31" s="325"/>
      <c r="D31" s="325"/>
      <c r="E31" s="326"/>
      <c r="F31" s="324"/>
      <c r="G31" s="325"/>
      <c r="H31" s="327"/>
      <c r="I31" s="324"/>
      <c r="J31" s="325"/>
      <c r="K31" s="327"/>
      <c r="L31" s="326"/>
      <c r="M31" s="326"/>
      <c r="N31" s="327"/>
    </row>
    <row r="32" spans="1:14" x14ac:dyDescent="0.2">
      <c r="A32" s="331" t="s">
        <v>240</v>
      </c>
      <c r="B32" s="324"/>
      <c r="C32" s="325"/>
      <c r="D32" s="325"/>
      <c r="E32" s="326"/>
      <c r="F32" s="324"/>
      <c r="G32" s="325"/>
      <c r="H32" s="327"/>
      <c r="I32" s="324"/>
      <c r="J32" s="325"/>
      <c r="K32" s="327"/>
      <c r="L32" s="326"/>
      <c r="M32" s="326"/>
      <c r="N32" s="327"/>
    </row>
    <row r="33" spans="1:14" x14ac:dyDescent="0.2">
      <c r="A33" s="329" t="s">
        <v>228</v>
      </c>
      <c r="B33" s="324"/>
      <c r="C33" s="325"/>
      <c r="D33" s="325"/>
      <c r="E33" s="326"/>
      <c r="F33" s="324"/>
      <c r="G33" s="325"/>
      <c r="H33" s="327"/>
      <c r="I33" s="324"/>
      <c r="J33" s="325"/>
      <c r="K33" s="327"/>
      <c r="L33" s="326"/>
      <c r="M33" s="326"/>
      <c r="N33" s="327"/>
    </row>
    <row r="34" spans="1:14" x14ac:dyDescent="0.2">
      <c r="A34" s="329" t="s">
        <v>226</v>
      </c>
      <c r="B34" s="324"/>
      <c r="C34" s="325"/>
      <c r="D34" s="325"/>
      <c r="E34" s="326"/>
      <c r="F34" s="324"/>
      <c r="G34" s="325"/>
      <c r="H34" s="327"/>
      <c r="I34" s="324"/>
      <c r="J34" s="325"/>
      <c r="K34" s="327"/>
      <c r="L34" s="326"/>
      <c r="M34" s="326"/>
      <c r="N34" s="327"/>
    </row>
    <row r="35" spans="1:14" x14ac:dyDescent="0.2">
      <c r="A35" s="329" t="s">
        <v>229</v>
      </c>
      <c r="B35" s="324"/>
      <c r="C35" s="325"/>
      <c r="D35" s="325"/>
      <c r="E35" s="326"/>
      <c r="F35" s="324"/>
      <c r="G35" s="325"/>
      <c r="H35" s="327"/>
      <c r="I35" s="324"/>
      <c r="J35" s="325"/>
      <c r="K35" s="327"/>
      <c r="L35" s="326"/>
      <c r="M35" s="326"/>
      <c r="N35" s="327"/>
    </row>
    <row r="36" spans="1:14" x14ac:dyDescent="0.2">
      <c r="A36" s="329" t="s">
        <v>230</v>
      </c>
      <c r="B36" s="324"/>
      <c r="C36" s="325"/>
      <c r="D36" s="325"/>
      <c r="E36" s="326"/>
      <c r="F36" s="324"/>
      <c r="G36" s="325"/>
      <c r="H36" s="327"/>
      <c r="I36" s="324"/>
      <c r="J36" s="325"/>
      <c r="K36" s="327"/>
      <c r="L36" s="326"/>
      <c r="M36" s="326"/>
      <c r="N36" s="327"/>
    </row>
    <row r="37" spans="1:14" x14ac:dyDescent="0.2">
      <c r="A37" s="329"/>
      <c r="B37" s="324"/>
      <c r="C37" s="325"/>
      <c r="D37" s="325"/>
      <c r="E37" s="326"/>
      <c r="F37" s="324"/>
      <c r="G37" s="325"/>
      <c r="H37" s="327"/>
      <c r="I37" s="324"/>
      <c r="J37" s="325"/>
      <c r="K37" s="327"/>
      <c r="L37" s="326"/>
      <c r="M37" s="326"/>
      <c r="N37" s="327"/>
    </row>
    <row r="38" spans="1:14" x14ac:dyDescent="0.2">
      <c r="A38" s="331" t="s">
        <v>241</v>
      </c>
      <c r="B38" s="324"/>
      <c r="C38" s="325"/>
      <c r="D38" s="325"/>
      <c r="E38" s="326"/>
      <c r="F38" s="324"/>
      <c r="G38" s="325"/>
      <c r="H38" s="327"/>
      <c r="I38" s="324"/>
      <c r="J38" s="325"/>
      <c r="K38" s="327"/>
      <c r="L38" s="326"/>
      <c r="M38" s="326"/>
      <c r="N38" s="327"/>
    </row>
    <row r="39" spans="1:14" x14ac:dyDescent="0.2">
      <c r="A39" s="329" t="s">
        <v>231</v>
      </c>
      <c r="B39" s="324"/>
      <c r="C39" s="325"/>
      <c r="D39" s="325"/>
      <c r="E39" s="326"/>
      <c r="F39" s="324"/>
      <c r="G39" s="325"/>
      <c r="H39" s="327"/>
      <c r="I39" s="324"/>
      <c r="J39" s="325"/>
      <c r="K39" s="327"/>
      <c r="L39" s="326"/>
      <c r="M39" s="326"/>
      <c r="N39" s="327"/>
    </row>
    <row r="40" spans="1:14" x14ac:dyDescent="0.2">
      <c r="A40" s="329" t="s">
        <v>232</v>
      </c>
      <c r="B40" s="324"/>
      <c r="C40" s="325"/>
      <c r="D40" s="325"/>
      <c r="E40" s="326"/>
      <c r="F40" s="324"/>
      <c r="G40" s="325"/>
      <c r="H40" s="327"/>
      <c r="I40" s="324"/>
      <c r="J40" s="325"/>
      <c r="K40" s="327"/>
      <c r="L40" s="326"/>
      <c r="M40" s="326"/>
      <c r="N40" s="327"/>
    </row>
    <row r="41" spans="1:14" ht="22.5" x14ac:dyDescent="0.2">
      <c r="A41" s="329" t="s">
        <v>233</v>
      </c>
      <c r="B41" s="324"/>
      <c r="C41" s="325"/>
      <c r="D41" s="325"/>
      <c r="E41" s="326"/>
      <c r="F41" s="324"/>
      <c r="G41" s="325"/>
      <c r="H41" s="327"/>
      <c r="I41" s="324"/>
      <c r="J41" s="325"/>
      <c r="K41" s="327"/>
      <c r="L41" s="326"/>
      <c r="M41" s="326"/>
      <c r="N41" s="327"/>
    </row>
    <row r="42" spans="1:14" ht="22.5" x14ac:dyDescent="0.2">
      <c r="A42" s="329" t="s">
        <v>234</v>
      </c>
      <c r="B42" s="324"/>
      <c r="C42" s="325"/>
      <c r="D42" s="325"/>
      <c r="E42" s="326"/>
      <c r="F42" s="324"/>
      <c r="G42" s="325"/>
      <c r="H42" s="327"/>
      <c r="I42" s="324"/>
      <c r="J42" s="325"/>
      <c r="K42" s="327"/>
      <c r="L42" s="326"/>
      <c r="M42" s="326"/>
      <c r="N42" s="327"/>
    </row>
    <row r="43" spans="1:14" x14ac:dyDescent="0.2">
      <c r="A43" s="329"/>
      <c r="B43" s="324"/>
      <c r="C43" s="325"/>
      <c r="D43" s="325"/>
      <c r="E43" s="326"/>
      <c r="F43" s="324"/>
      <c r="G43" s="325"/>
      <c r="H43" s="327"/>
      <c r="I43" s="324"/>
      <c r="J43" s="325"/>
      <c r="K43" s="327"/>
      <c r="L43" s="326"/>
      <c r="M43" s="326"/>
      <c r="N43" s="327"/>
    </row>
    <row r="44" spans="1:14" x14ac:dyDescent="0.2">
      <c r="A44" s="331" t="s">
        <v>242</v>
      </c>
      <c r="B44" s="324"/>
      <c r="C44" s="325"/>
      <c r="D44" s="325"/>
      <c r="E44" s="326"/>
      <c r="F44" s="324"/>
      <c r="G44" s="325"/>
      <c r="H44" s="327"/>
      <c r="I44" s="324"/>
      <c r="J44" s="325"/>
      <c r="K44" s="327"/>
      <c r="L44" s="326"/>
      <c r="M44" s="326"/>
      <c r="N44" s="327"/>
    </row>
    <row r="45" spans="1:14" x14ac:dyDescent="0.2">
      <c r="A45" s="329" t="s">
        <v>235</v>
      </c>
      <c r="B45" s="324"/>
      <c r="C45" s="325"/>
      <c r="D45" s="325"/>
      <c r="E45" s="326"/>
      <c r="F45" s="324"/>
      <c r="G45" s="325"/>
      <c r="H45" s="327"/>
      <c r="I45" s="324"/>
      <c r="J45" s="325"/>
      <c r="K45" s="327"/>
      <c r="L45" s="326"/>
      <c r="M45" s="326"/>
      <c r="N45" s="327"/>
    </row>
    <row r="46" spans="1:14" s="184" customFormat="1" ht="22.5" x14ac:dyDescent="0.2">
      <c r="A46" s="329" t="s">
        <v>236</v>
      </c>
      <c r="B46" s="324"/>
      <c r="C46" s="325"/>
      <c r="D46" s="325"/>
      <c r="E46" s="326"/>
      <c r="F46" s="324"/>
      <c r="G46" s="325"/>
      <c r="H46" s="327"/>
      <c r="I46" s="324"/>
      <c r="J46" s="325"/>
      <c r="K46" s="327"/>
      <c r="L46" s="326"/>
      <c r="M46" s="326"/>
      <c r="N46" s="327"/>
    </row>
    <row r="47" spans="1:14" ht="12" thickBot="1" x14ac:dyDescent="0.25">
      <c r="A47" s="332"/>
      <c r="B47" s="324"/>
      <c r="C47" s="325"/>
      <c r="D47" s="325"/>
      <c r="E47" s="326"/>
      <c r="F47" s="324"/>
      <c r="G47" s="325"/>
      <c r="H47" s="327"/>
      <c r="I47" s="324"/>
      <c r="J47" s="325"/>
      <c r="K47" s="327"/>
      <c r="L47" s="326"/>
      <c r="M47" s="326"/>
      <c r="N47" s="327"/>
    </row>
    <row r="48" spans="1:14" s="182" customFormat="1" x14ac:dyDescent="0.2">
      <c r="A48" s="333"/>
      <c r="B48" s="345"/>
      <c r="C48" s="346"/>
      <c r="D48" s="352"/>
      <c r="E48" s="349"/>
      <c r="F48" s="345"/>
      <c r="G48" s="348"/>
      <c r="H48" s="349"/>
      <c r="I48" s="345"/>
      <c r="J48" s="346"/>
      <c r="K48" s="347"/>
      <c r="L48" s="348"/>
      <c r="M48" s="348"/>
      <c r="N48" s="349"/>
    </row>
    <row r="49" spans="1:14" s="182" customFormat="1" ht="12" thickBot="1" x14ac:dyDescent="0.25">
      <c r="A49" s="334" t="s">
        <v>0</v>
      </c>
      <c r="B49" s="335"/>
      <c r="C49" s="336"/>
      <c r="D49" s="351"/>
      <c r="E49" s="338"/>
      <c r="F49" s="335"/>
      <c r="G49" s="337"/>
      <c r="H49" s="338"/>
      <c r="I49" s="335"/>
      <c r="J49" s="336"/>
      <c r="K49" s="344"/>
      <c r="L49" s="337"/>
      <c r="M49" s="337"/>
      <c r="N49" s="338"/>
    </row>
    <row r="50" spans="1:14" s="182" customFormat="1" ht="12.75" thickTop="1" thickBot="1" x14ac:dyDescent="0.25">
      <c r="A50" s="339" t="s">
        <v>22</v>
      </c>
      <c r="B50" s="340"/>
      <c r="C50" s="341"/>
      <c r="D50" s="353"/>
      <c r="E50" s="343"/>
      <c r="F50" s="340"/>
      <c r="G50" s="342"/>
      <c r="H50" s="343"/>
      <c r="I50" s="340"/>
      <c r="J50" s="341"/>
      <c r="K50" s="350"/>
      <c r="L50" s="342"/>
      <c r="M50" s="342"/>
      <c r="N50" s="343"/>
    </row>
    <row r="51" spans="1:14" x14ac:dyDescent="0.2">
      <c r="A51" s="98" t="s">
        <v>412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2">
      <c r="A52" s="98" t="s">
        <v>413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5" spans="1:14" x14ac:dyDescent="0.2">
      <c r="A55" s="307" t="s">
        <v>407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</row>
    <row r="56" spans="1:14" x14ac:dyDescent="0.2">
      <c r="A56" s="181" t="s">
        <v>460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</row>
    <row r="57" spans="1:14" ht="12" thickBot="1" x14ac:dyDescent="0.25">
      <c r="A57" s="173" t="s">
        <v>1395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</row>
    <row r="58" spans="1:14" ht="12" thickBot="1" x14ac:dyDescent="0.25">
      <c r="A58" s="1450" t="s">
        <v>212</v>
      </c>
      <c r="B58" s="1448" t="s">
        <v>245</v>
      </c>
      <c r="C58" s="1449"/>
      <c r="D58" s="1449"/>
      <c r="E58" s="1449"/>
      <c r="F58" s="1445" t="s">
        <v>246</v>
      </c>
      <c r="G58" s="1446"/>
      <c r="H58" s="1447"/>
      <c r="I58" s="1445" t="s">
        <v>244</v>
      </c>
      <c r="J58" s="1446"/>
      <c r="K58" s="1446"/>
      <c r="L58" s="1446"/>
      <c r="M58" s="1446"/>
      <c r="N58" s="1447"/>
    </row>
    <row r="59" spans="1:14" ht="49.5" thickBot="1" x14ac:dyDescent="0.25">
      <c r="A59" s="1451"/>
      <c r="B59" s="309">
        <v>2019</v>
      </c>
      <c r="C59" s="310">
        <v>2020</v>
      </c>
      <c r="D59" s="310" t="s">
        <v>408</v>
      </c>
      <c r="E59" s="312" t="s">
        <v>409</v>
      </c>
      <c r="F59" s="309">
        <v>2019</v>
      </c>
      <c r="G59" s="310">
        <v>2020</v>
      </c>
      <c r="H59" s="310" t="s">
        <v>408</v>
      </c>
      <c r="I59" s="309">
        <v>2019</v>
      </c>
      <c r="J59" s="310" t="s">
        <v>400</v>
      </c>
      <c r="K59" s="310" t="s">
        <v>408</v>
      </c>
      <c r="L59" s="311" t="s">
        <v>410</v>
      </c>
      <c r="M59" s="311" t="s">
        <v>409</v>
      </c>
      <c r="N59" s="312" t="s">
        <v>411</v>
      </c>
    </row>
    <row r="60" spans="1:14" x14ac:dyDescent="0.2">
      <c r="A60" s="313"/>
      <c r="B60" s="314"/>
      <c r="C60" s="315"/>
      <c r="D60" s="315"/>
      <c r="E60" s="316"/>
      <c r="F60" s="314"/>
      <c r="G60" s="315"/>
      <c r="H60" s="317"/>
      <c r="I60" s="314"/>
      <c r="J60" s="315"/>
      <c r="K60" s="317"/>
      <c r="L60" s="316"/>
      <c r="M60" s="316"/>
      <c r="N60" s="317"/>
    </row>
    <row r="61" spans="1:14" ht="22.5" x14ac:dyDescent="0.2">
      <c r="A61" s="318" t="s">
        <v>243</v>
      </c>
      <c r="B61" s="319"/>
      <c r="C61" s="320"/>
      <c r="D61" s="320"/>
      <c r="E61" s="321"/>
      <c r="F61" s="319"/>
      <c r="G61" s="320"/>
      <c r="H61" s="322"/>
      <c r="I61" s="319"/>
      <c r="J61" s="320"/>
      <c r="K61" s="322"/>
      <c r="L61" s="321"/>
      <c r="M61" s="321"/>
      <c r="N61" s="322"/>
    </row>
    <row r="62" spans="1:14" x14ac:dyDescent="0.2">
      <c r="A62" s="323" t="s">
        <v>213</v>
      </c>
      <c r="B62" s="324"/>
      <c r="C62" s="325"/>
      <c r="D62" s="325"/>
      <c r="E62" s="326"/>
      <c r="F62" s="324"/>
      <c r="G62" s="325"/>
      <c r="H62" s="327"/>
      <c r="I62" s="324"/>
      <c r="J62" s="325"/>
      <c r="K62" s="327"/>
      <c r="L62" s="326"/>
      <c r="M62" s="326"/>
      <c r="N62" s="327"/>
    </row>
    <row r="63" spans="1:14" x14ac:dyDescent="0.2">
      <c r="A63" s="328"/>
      <c r="B63" s="324"/>
      <c r="C63" s="325"/>
      <c r="D63" s="325"/>
      <c r="E63" s="326"/>
      <c r="F63" s="324"/>
      <c r="G63" s="325"/>
      <c r="H63" s="327"/>
      <c r="I63" s="324"/>
      <c r="J63" s="325"/>
      <c r="K63" s="327"/>
      <c r="L63" s="326"/>
      <c r="M63" s="326"/>
      <c r="N63" s="327"/>
    </row>
    <row r="64" spans="1:14" x14ac:dyDescent="0.2">
      <c r="A64" s="318" t="s">
        <v>218</v>
      </c>
      <c r="B64" s="324"/>
      <c r="C64" s="325"/>
      <c r="D64" s="325"/>
      <c r="E64" s="326"/>
      <c r="F64" s="324"/>
      <c r="G64" s="325"/>
      <c r="H64" s="327"/>
      <c r="I64" s="324"/>
      <c r="J64" s="325"/>
      <c r="K64" s="327"/>
      <c r="L64" s="326"/>
      <c r="M64" s="326"/>
      <c r="N64" s="327"/>
    </row>
    <row r="65" spans="1:14" x14ac:dyDescent="0.2">
      <c r="A65" s="329" t="s">
        <v>214</v>
      </c>
      <c r="B65" s="324"/>
      <c r="C65" s="325"/>
      <c r="D65" s="325"/>
      <c r="E65" s="326"/>
      <c r="F65" s="324"/>
      <c r="G65" s="325"/>
      <c r="H65" s="327"/>
      <c r="I65" s="324"/>
      <c r="J65" s="325"/>
      <c r="K65" s="327"/>
      <c r="L65" s="326"/>
      <c r="M65" s="326"/>
      <c r="N65" s="327"/>
    </row>
    <row r="66" spans="1:14" x14ac:dyDescent="0.2">
      <c r="A66" s="329" t="s">
        <v>215</v>
      </c>
      <c r="B66" s="324"/>
      <c r="C66" s="325"/>
      <c r="D66" s="325"/>
      <c r="E66" s="326"/>
      <c r="F66" s="324"/>
      <c r="G66" s="325"/>
      <c r="H66" s="327"/>
      <c r="I66" s="324"/>
      <c r="J66" s="325"/>
      <c r="K66" s="327"/>
      <c r="L66" s="326"/>
      <c r="M66" s="326"/>
      <c r="N66" s="327"/>
    </row>
    <row r="67" spans="1:14" x14ac:dyDescent="0.2">
      <c r="A67" s="329" t="s">
        <v>216</v>
      </c>
      <c r="B67" s="324"/>
      <c r="C67" s="325"/>
      <c r="D67" s="325"/>
      <c r="E67" s="326"/>
      <c r="F67" s="324"/>
      <c r="G67" s="325"/>
      <c r="H67" s="327"/>
      <c r="I67" s="324"/>
      <c r="J67" s="325"/>
      <c r="K67" s="327"/>
      <c r="L67" s="326"/>
      <c r="M67" s="326"/>
      <c r="N67" s="327"/>
    </row>
    <row r="68" spans="1:14" x14ac:dyDescent="0.2">
      <c r="A68" s="329" t="s">
        <v>217</v>
      </c>
      <c r="B68" s="324"/>
      <c r="C68" s="325"/>
      <c r="D68" s="325"/>
      <c r="E68" s="326"/>
      <c r="F68" s="324"/>
      <c r="G68" s="325"/>
      <c r="H68" s="327"/>
      <c r="I68" s="324"/>
      <c r="J68" s="325"/>
      <c r="K68" s="327"/>
      <c r="L68" s="326"/>
      <c r="M68" s="326"/>
      <c r="N68" s="327"/>
    </row>
    <row r="69" spans="1:14" x14ac:dyDescent="0.2">
      <c r="A69" s="329"/>
      <c r="B69" s="319"/>
      <c r="C69" s="320"/>
      <c r="D69" s="320"/>
      <c r="E69" s="321"/>
      <c r="F69" s="319"/>
      <c r="G69" s="320"/>
      <c r="H69" s="322"/>
      <c r="I69" s="319"/>
      <c r="J69" s="320"/>
      <c r="K69" s="322"/>
      <c r="L69" s="321"/>
      <c r="M69" s="321"/>
      <c r="N69" s="322"/>
    </row>
    <row r="70" spans="1:14" x14ac:dyDescent="0.2">
      <c r="A70" s="318" t="s">
        <v>237</v>
      </c>
      <c r="B70" s="324"/>
      <c r="C70" s="325"/>
      <c r="D70" s="325"/>
      <c r="E70" s="326"/>
      <c r="F70" s="324"/>
      <c r="G70" s="325"/>
      <c r="H70" s="327"/>
      <c r="I70" s="324"/>
      <c r="J70" s="325"/>
      <c r="K70" s="327"/>
      <c r="L70" s="326"/>
      <c r="M70" s="326"/>
      <c r="N70" s="327"/>
    </row>
    <row r="71" spans="1:14" x14ac:dyDescent="0.2">
      <c r="A71" s="329" t="s">
        <v>219</v>
      </c>
      <c r="B71" s="324"/>
      <c r="C71" s="325"/>
      <c r="D71" s="325"/>
      <c r="E71" s="326"/>
      <c r="F71" s="324"/>
      <c r="G71" s="325"/>
      <c r="H71" s="327"/>
      <c r="I71" s="324"/>
      <c r="J71" s="325"/>
      <c r="K71" s="327"/>
      <c r="L71" s="326"/>
      <c r="M71" s="326"/>
      <c r="N71" s="327"/>
    </row>
    <row r="72" spans="1:14" x14ac:dyDescent="0.2">
      <c r="A72" s="329" t="s">
        <v>220</v>
      </c>
      <c r="B72" s="324"/>
      <c r="C72" s="325"/>
      <c r="D72" s="325"/>
      <c r="E72" s="326"/>
      <c r="F72" s="324"/>
      <c r="G72" s="325"/>
      <c r="H72" s="327"/>
      <c r="I72" s="324"/>
      <c r="J72" s="325"/>
      <c r="K72" s="327"/>
      <c r="L72" s="326"/>
      <c r="M72" s="326"/>
      <c r="N72" s="327"/>
    </row>
    <row r="73" spans="1:14" x14ac:dyDescent="0.2">
      <c r="A73" s="329" t="s">
        <v>221</v>
      </c>
      <c r="B73" s="324"/>
      <c r="C73" s="325"/>
      <c r="D73" s="325"/>
      <c r="E73" s="326"/>
      <c r="F73" s="324"/>
      <c r="G73" s="325"/>
      <c r="H73" s="327"/>
      <c r="I73" s="324"/>
      <c r="J73" s="325"/>
      <c r="K73" s="327"/>
      <c r="L73" s="326"/>
      <c r="M73" s="326"/>
      <c r="N73" s="327"/>
    </row>
    <row r="74" spans="1:14" x14ac:dyDescent="0.2">
      <c r="A74" s="329" t="s">
        <v>222</v>
      </c>
      <c r="B74" s="324"/>
      <c r="C74" s="325"/>
      <c r="D74" s="325"/>
      <c r="E74" s="326"/>
      <c r="F74" s="324"/>
      <c r="G74" s="325"/>
      <c r="H74" s="327"/>
      <c r="I74" s="324"/>
      <c r="J74" s="325"/>
      <c r="K74" s="327"/>
      <c r="L74" s="326"/>
      <c r="M74" s="326"/>
      <c r="N74" s="327"/>
    </row>
    <row r="75" spans="1:14" ht="22.5" x14ac:dyDescent="0.2">
      <c r="A75" s="329" t="s">
        <v>223</v>
      </c>
      <c r="B75" s="324"/>
      <c r="C75" s="325"/>
      <c r="D75" s="325"/>
      <c r="E75" s="326"/>
      <c r="F75" s="324"/>
      <c r="G75" s="325"/>
      <c r="H75" s="327"/>
      <c r="I75" s="324"/>
      <c r="J75" s="325"/>
      <c r="K75" s="327"/>
      <c r="L75" s="326"/>
      <c r="M75" s="326"/>
      <c r="N75" s="327"/>
    </row>
    <row r="76" spans="1:14" x14ac:dyDescent="0.2">
      <c r="A76" s="330"/>
      <c r="B76" s="324"/>
      <c r="C76" s="325"/>
      <c r="D76" s="325"/>
      <c r="E76" s="326"/>
      <c r="F76" s="324"/>
      <c r="G76" s="325"/>
      <c r="H76" s="327"/>
      <c r="I76" s="324"/>
      <c r="J76" s="325"/>
      <c r="K76" s="327"/>
      <c r="L76" s="326"/>
      <c r="M76" s="326"/>
      <c r="N76" s="327"/>
    </row>
    <row r="77" spans="1:14" x14ac:dyDescent="0.2">
      <c r="A77" s="331" t="s">
        <v>238</v>
      </c>
      <c r="B77" s="324"/>
      <c r="C77" s="325"/>
      <c r="D77" s="325"/>
      <c r="E77" s="326"/>
      <c r="F77" s="324"/>
      <c r="G77" s="325"/>
      <c r="H77" s="327"/>
      <c r="I77" s="324"/>
      <c r="J77" s="325"/>
      <c r="K77" s="327"/>
      <c r="L77" s="326"/>
      <c r="M77" s="326"/>
      <c r="N77" s="327"/>
    </row>
    <row r="78" spans="1:14" x14ac:dyDescent="0.2">
      <c r="A78" s="329" t="s">
        <v>224</v>
      </c>
      <c r="B78" s="324"/>
      <c r="C78" s="325"/>
      <c r="D78" s="325"/>
      <c r="E78" s="326"/>
      <c r="F78" s="324"/>
      <c r="G78" s="325"/>
      <c r="H78" s="327"/>
      <c r="I78" s="324"/>
      <c r="J78" s="325"/>
      <c r="K78" s="327"/>
      <c r="L78" s="326"/>
      <c r="M78" s="326"/>
      <c r="N78" s="327"/>
    </row>
    <row r="79" spans="1:14" x14ac:dyDescent="0.2">
      <c r="A79" s="329" t="s">
        <v>225</v>
      </c>
      <c r="B79" s="324"/>
      <c r="C79" s="325"/>
      <c r="D79" s="325"/>
      <c r="E79" s="326"/>
      <c r="F79" s="324"/>
      <c r="G79" s="325"/>
      <c r="H79" s="327"/>
      <c r="I79" s="324"/>
      <c r="J79" s="325"/>
      <c r="K79" s="327"/>
      <c r="L79" s="326"/>
      <c r="M79" s="326"/>
      <c r="N79" s="327"/>
    </row>
    <row r="80" spans="1:14" x14ac:dyDescent="0.2">
      <c r="A80" s="329" t="s">
        <v>226</v>
      </c>
      <c r="B80" s="324"/>
      <c r="C80" s="325"/>
      <c r="D80" s="325"/>
      <c r="E80" s="326"/>
      <c r="F80" s="324"/>
      <c r="G80" s="325"/>
      <c r="H80" s="327"/>
      <c r="I80" s="324"/>
      <c r="J80" s="325"/>
      <c r="K80" s="327"/>
      <c r="L80" s="326"/>
      <c r="M80" s="326"/>
      <c r="N80" s="327"/>
    </row>
    <row r="81" spans="1:14" x14ac:dyDescent="0.2">
      <c r="A81" s="329"/>
      <c r="B81" s="324"/>
      <c r="C81" s="325"/>
      <c r="D81" s="325"/>
      <c r="E81" s="326"/>
      <c r="F81" s="324"/>
      <c r="G81" s="325"/>
      <c r="H81" s="327"/>
      <c r="I81" s="324"/>
      <c r="J81" s="325"/>
      <c r="K81" s="327"/>
      <c r="L81" s="326"/>
      <c r="M81" s="326"/>
      <c r="N81" s="327"/>
    </row>
    <row r="82" spans="1:14" x14ac:dyDescent="0.2">
      <c r="A82" s="331" t="s">
        <v>239</v>
      </c>
      <c r="B82" s="324"/>
      <c r="C82" s="325"/>
      <c r="D82" s="325"/>
      <c r="E82" s="326"/>
      <c r="F82" s="324"/>
      <c r="G82" s="325"/>
      <c r="H82" s="327"/>
      <c r="I82" s="324"/>
      <c r="J82" s="325"/>
      <c r="K82" s="327"/>
      <c r="L82" s="326"/>
      <c r="M82" s="326"/>
      <c r="N82" s="327"/>
    </row>
    <row r="83" spans="1:14" x14ac:dyDescent="0.2">
      <c r="A83" s="329" t="s">
        <v>227</v>
      </c>
      <c r="B83" s="324"/>
      <c r="C83" s="325"/>
      <c r="D83" s="325"/>
      <c r="E83" s="326"/>
      <c r="F83" s="324"/>
      <c r="G83" s="325"/>
      <c r="H83" s="327"/>
      <c r="I83" s="324"/>
      <c r="J83" s="325"/>
      <c r="K83" s="327"/>
      <c r="L83" s="326"/>
      <c r="M83" s="326"/>
      <c r="N83" s="327"/>
    </row>
    <row r="84" spans="1:14" x14ac:dyDescent="0.2">
      <c r="A84" s="329" t="s">
        <v>225</v>
      </c>
      <c r="B84" s="324"/>
      <c r="C84" s="325"/>
      <c r="D84" s="325"/>
      <c r="E84" s="326"/>
      <c r="F84" s="324"/>
      <c r="G84" s="325"/>
      <c r="H84" s="327"/>
      <c r="I84" s="324"/>
      <c r="J84" s="325"/>
      <c r="K84" s="327"/>
      <c r="L84" s="326"/>
      <c r="M84" s="326"/>
      <c r="N84" s="327"/>
    </row>
    <row r="85" spans="1:14" x14ac:dyDescent="0.2">
      <c r="A85" s="329"/>
      <c r="B85" s="324"/>
      <c r="C85" s="325"/>
      <c r="D85" s="325"/>
      <c r="E85" s="326"/>
      <c r="F85" s="324"/>
      <c r="G85" s="325"/>
      <c r="H85" s="327"/>
      <c r="I85" s="324"/>
      <c r="J85" s="325"/>
      <c r="K85" s="327"/>
      <c r="L85" s="326"/>
      <c r="M85" s="326"/>
      <c r="N85" s="327"/>
    </row>
    <row r="86" spans="1:14" x14ac:dyDescent="0.2">
      <c r="A86" s="331" t="s">
        <v>240</v>
      </c>
      <c r="B86" s="324"/>
      <c r="C86" s="325"/>
      <c r="D86" s="325"/>
      <c r="E86" s="326"/>
      <c r="F86" s="324"/>
      <c r="G86" s="325"/>
      <c r="H86" s="327"/>
      <c r="I86" s="324"/>
      <c r="J86" s="325"/>
      <c r="K86" s="327"/>
      <c r="L86" s="326"/>
      <c r="M86" s="326"/>
      <c r="N86" s="327"/>
    </row>
    <row r="87" spans="1:14" x14ac:dyDescent="0.2">
      <c r="A87" s="329" t="s">
        <v>228</v>
      </c>
      <c r="B87" s="324"/>
      <c r="C87" s="325"/>
      <c r="D87" s="325"/>
      <c r="E87" s="326"/>
      <c r="F87" s="324"/>
      <c r="G87" s="325"/>
      <c r="H87" s="327"/>
      <c r="I87" s="324"/>
      <c r="J87" s="325"/>
      <c r="K87" s="327"/>
      <c r="L87" s="326"/>
      <c r="M87" s="326"/>
      <c r="N87" s="327"/>
    </row>
    <row r="88" spans="1:14" x14ac:dyDescent="0.2">
      <c r="A88" s="329" t="s">
        <v>226</v>
      </c>
      <c r="B88" s="324"/>
      <c r="C88" s="325"/>
      <c r="D88" s="325"/>
      <c r="E88" s="326"/>
      <c r="F88" s="324"/>
      <c r="G88" s="325"/>
      <c r="H88" s="327"/>
      <c r="I88" s="324"/>
      <c r="J88" s="325"/>
      <c r="K88" s="327"/>
      <c r="L88" s="326"/>
      <c r="M88" s="326"/>
      <c r="N88" s="327"/>
    </row>
    <row r="89" spans="1:14" x14ac:dyDescent="0.2">
      <c r="A89" s="329" t="s">
        <v>229</v>
      </c>
      <c r="B89" s="324"/>
      <c r="C89" s="325"/>
      <c r="D89" s="325"/>
      <c r="E89" s="326"/>
      <c r="F89" s="324"/>
      <c r="G89" s="325"/>
      <c r="H89" s="327"/>
      <c r="I89" s="324"/>
      <c r="J89" s="325"/>
      <c r="K89" s="327"/>
      <c r="L89" s="326"/>
      <c r="M89" s="326"/>
      <c r="N89" s="327"/>
    </row>
    <row r="90" spans="1:14" x14ac:dyDescent="0.2">
      <c r="A90" s="329" t="s">
        <v>230</v>
      </c>
      <c r="B90" s="324"/>
      <c r="C90" s="325"/>
      <c r="D90" s="325"/>
      <c r="E90" s="326"/>
      <c r="F90" s="324"/>
      <c r="G90" s="325"/>
      <c r="H90" s="327"/>
      <c r="I90" s="324"/>
      <c r="J90" s="325"/>
      <c r="K90" s="327"/>
      <c r="L90" s="326"/>
      <c r="M90" s="326"/>
      <c r="N90" s="327"/>
    </row>
    <row r="91" spans="1:14" x14ac:dyDescent="0.2">
      <c r="A91" s="329"/>
      <c r="B91" s="324"/>
      <c r="C91" s="325"/>
      <c r="D91" s="325"/>
      <c r="E91" s="326"/>
      <c r="F91" s="324"/>
      <c r="G91" s="325"/>
      <c r="H91" s="327"/>
      <c r="I91" s="324"/>
      <c r="J91" s="325"/>
      <c r="K91" s="327"/>
      <c r="L91" s="326"/>
      <c r="M91" s="326"/>
      <c r="N91" s="327"/>
    </row>
    <row r="92" spans="1:14" x14ac:dyDescent="0.2">
      <c r="A92" s="331" t="s">
        <v>241</v>
      </c>
      <c r="B92" s="324"/>
      <c r="C92" s="325"/>
      <c r="D92" s="325"/>
      <c r="E92" s="326"/>
      <c r="F92" s="324"/>
      <c r="G92" s="325"/>
      <c r="H92" s="327"/>
      <c r="I92" s="324"/>
      <c r="J92" s="325"/>
      <c r="K92" s="327"/>
      <c r="L92" s="326"/>
      <c r="M92" s="326"/>
      <c r="N92" s="327"/>
    </row>
    <row r="93" spans="1:14" x14ac:dyDescent="0.2">
      <c r="A93" s="329" t="s">
        <v>231</v>
      </c>
      <c r="B93" s="324"/>
      <c r="C93" s="325"/>
      <c r="D93" s="325"/>
      <c r="E93" s="326"/>
      <c r="F93" s="324"/>
      <c r="G93" s="325"/>
      <c r="H93" s="327"/>
      <c r="I93" s="324"/>
      <c r="J93" s="325"/>
      <c r="K93" s="327"/>
      <c r="L93" s="326"/>
      <c r="M93" s="326"/>
      <c r="N93" s="327"/>
    </row>
    <row r="94" spans="1:14" x14ac:dyDescent="0.2">
      <c r="A94" s="329" t="s">
        <v>232</v>
      </c>
      <c r="B94" s="324"/>
      <c r="C94" s="325"/>
      <c r="D94" s="325"/>
      <c r="E94" s="326"/>
      <c r="F94" s="324"/>
      <c r="G94" s="325"/>
      <c r="H94" s="327"/>
      <c r="I94" s="324"/>
      <c r="J94" s="325"/>
      <c r="K94" s="327"/>
      <c r="L94" s="326"/>
      <c r="M94" s="326"/>
      <c r="N94" s="327"/>
    </row>
    <row r="95" spans="1:14" ht="22.5" x14ac:dyDescent="0.2">
      <c r="A95" s="329" t="s">
        <v>233</v>
      </c>
      <c r="B95" s="324"/>
      <c r="C95" s="325"/>
      <c r="D95" s="325"/>
      <c r="E95" s="326"/>
      <c r="F95" s="324"/>
      <c r="G95" s="325"/>
      <c r="H95" s="327"/>
      <c r="I95" s="324"/>
      <c r="J95" s="325"/>
      <c r="K95" s="327"/>
      <c r="L95" s="326"/>
      <c r="M95" s="326"/>
      <c r="N95" s="327"/>
    </row>
    <row r="96" spans="1:14" ht="22.5" x14ac:dyDescent="0.2">
      <c r="A96" s="329" t="s">
        <v>234</v>
      </c>
      <c r="B96" s="324"/>
      <c r="C96" s="325"/>
      <c r="D96" s="325"/>
      <c r="E96" s="326"/>
      <c r="F96" s="324"/>
      <c r="G96" s="325"/>
      <c r="H96" s="327"/>
      <c r="I96" s="324"/>
      <c r="J96" s="325"/>
      <c r="K96" s="327"/>
      <c r="L96" s="326"/>
      <c r="M96" s="326"/>
      <c r="N96" s="327"/>
    </row>
    <row r="97" spans="1:14" x14ac:dyDescent="0.2">
      <c r="A97" s="329"/>
      <c r="B97" s="324"/>
      <c r="C97" s="325"/>
      <c r="D97" s="325"/>
      <c r="E97" s="326"/>
      <c r="F97" s="324"/>
      <c r="G97" s="325"/>
      <c r="H97" s="327"/>
      <c r="I97" s="324"/>
      <c r="J97" s="325"/>
      <c r="K97" s="327"/>
      <c r="L97" s="326"/>
      <c r="M97" s="326"/>
      <c r="N97" s="327"/>
    </row>
    <row r="98" spans="1:14" x14ac:dyDescent="0.2">
      <c r="A98" s="331" t="s">
        <v>242</v>
      </c>
      <c r="B98" s="324"/>
      <c r="C98" s="325"/>
      <c r="D98" s="325"/>
      <c r="E98" s="326"/>
      <c r="F98" s="324"/>
      <c r="G98" s="325"/>
      <c r="H98" s="327"/>
      <c r="I98" s="324"/>
      <c r="J98" s="325"/>
      <c r="K98" s="327"/>
      <c r="L98" s="326"/>
      <c r="M98" s="326"/>
      <c r="N98" s="327"/>
    </row>
    <row r="99" spans="1:14" x14ac:dyDescent="0.2">
      <c r="A99" s="329" t="s">
        <v>235</v>
      </c>
      <c r="B99" s="324"/>
      <c r="C99" s="325"/>
      <c r="D99" s="325"/>
      <c r="E99" s="326"/>
      <c r="F99" s="324"/>
      <c r="G99" s="325"/>
      <c r="H99" s="327"/>
      <c r="I99" s="324"/>
      <c r="J99" s="325"/>
      <c r="K99" s="327"/>
      <c r="L99" s="326"/>
      <c r="M99" s="326"/>
      <c r="N99" s="327"/>
    </row>
    <row r="100" spans="1:14" ht="22.5" x14ac:dyDescent="0.2">
      <c r="A100" s="329" t="s">
        <v>236</v>
      </c>
      <c r="B100" s="324"/>
      <c r="C100" s="325"/>
      <c r="D100" s="325"/>
      <c r="E100" s="326"/>
      <c r="F100" s="324"/>
      <c r="G100" s="325"/>
      <c r="H100" s="327"/>
      <c r="I100" s="324"/>
      <c r="J100" s="325"/>
      <c r="K100" s="327"/>
      <c r="L100" s="326"/>
      <c r="M100" s="326"/>
      <c r="N100" s="327"/>
    </row>
    <row r="101" spans="1:14" ht="12" thickBot="1" x14ac:dyDescent="0.25">
      <c r="A101" s="332"/>
      <c r="B101" s="324"/>
      <c r="C101" s="325"/>
      <c r="D101" s="325"/>
      <c r="E101" s="326"/>
      <c r="F101" s="324"/>
      <c r="G101" s="325"/>
      <c r="H101" s="327"/>
      <c r="I101" s="324"/>
      <c r="J101" s="325"/>
      <c r="K101" s="327"/>
      <c r="L101" s="326"/>
      <c r="M101" s="326"/>
      <c r="N101" s="327"/>
    </row>
    <row r="102" spans="1:14" x14ac:dyDescent="0.2">
      <c r="A102" s="333"/>
      <c r="B102" s="345"/>
      <c r="C102" s="346"/>
      <c r="D102" s="352"/>
      <c r="E102" s="349"/>
      <c r="F102" s="345"/>
      <c r="G102" s="348"/>
      <c r="H102" s="349"/>
      <c r="I102" s="345"/>
      <c r="J102" s="346"/>
      <c r="K102" s="347"/>
      <c r="L102" s="348"/>
      <c r="M102" s="348"/>
      <c r="N102" s="349"/>
    </row>
    <row r="103" spans="1:14" ht="12" thickBot="1" x14ac:dyDescent="0.25">
      <c r="A103" s="334" t="s">
        <v>0</v>
      </c>
      <c r="B103" s="335"/>
      <c r="C103" s="336"/>
      <c r="D103" s="351"/>
      <c r="E103" s="338"/>
      <c r="F103" s="335"/>
      <c r="G103" s="337"/>
      <c r="H103" s="338"/>
      <c r="I103" s="335"/>
      <c r="J103" s="336"/>
      <c r="K103" s="344"/>
      <c r="L103" s="337"/>
      <c r="M103" s="337"/>
      <c r="N103" s="338"/>
    </row>
    <row r="104" spans="1:14" ht="12.75" thickTop="1" thickBot="1" x14ac:dyDescent="0.25">
      <c r="A104" s="339" t="s">
        <v>22</v>
      </c>
      <c r="B104" s="340"/>
      <c r="C104" s="341"/>
      <c r="D104" s="353"/>
      <c r="E104" s="343"/>
      <c r="F104" s="340"/>
      <c r="G104" s="342"/>
      <c r="H104" s="343"/>
      <c r="I104" s="340"/>
      <c r="J104" s="341"/>
      <c r="K104" s="350"/>
      <c r="L104" s="342"/>
      <c r="M104" s="342"/>
      <c r="N104" s="343"/>
    </row>
    <row r="105" spans="1:14" x14ac:dyDescent="0.2">
      <c r="A105" s="98" t="s">
        <v>412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2">
      <c r="A106" s="98" t="s">
        <v>413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12" spans="1:14" ht="12" x14ac:dyDescent="0.2">
      <c r="A112" s="15" t="s">
        <v>407</v>
      </c>
      <c r="B112" s="712"/>
      <c r="C112" s="712"/>
      <c r="D112" s="712"/>
      <c r="E112" s="712"/>
      <c r="F112" s="712"/>
      <c r="G112" s="712"/>
      <c r="H112" s="712"/>
      <c r="I112" s="712"/>
      <c r="J112" s="712"/>
      <c r="K112" s="712"/>
      <c r="L112" s="712"/>
      <c r="M112" s="712"/>
      <c r="N112" s="712"/>
    </row>
    <row r="113" spans="1:14" ht="12" x14ac:dyDescent="0.2">
      <c r="A113" s="490" t="s">
        <v>4261</v>
      </c>
      <c r="B113" s="713"/>
      <c r="C113" s="713"/>
      <c r="D113" s="713"/>
      <c r="E113" s="713"/>
      <c r="F113" s="713"/>
      <c r="G113" s="713"/>
      <c r="H113" s="713"/>
      <c r="I113" s="713"/>
      <c r="J113" s="713"/>
      <c r="K113" s="713"/>
      <c r="L113" s="713"/>
      <c r="M113" s="713"/>
      <c r="N113" s="713"/>
    </row>
    <row r="114" spans="1:14" ht="12.75" thickBot="1" x14ac:dyDescent="0.25">
      <c r="A114" s="490" t="s">
        <v>4262</v>
      </c>
      <c r="B114" s="713"/>
      <c r="C114" s="713"/>
      <c r="D114" s="713"/>
      <c r="E114" s="713"/>
      <c r="F114" s="713"/>
      <c r="G114" s="713"/>
      <c r="H114" s="713"/>
      <c r="I114" s="713"/>
      <c r="J114" s="713"/>
      <c r="K114" s="713"/>
      <c r="L114" s="713"/>
      <c r="M114" s="713"/>
      <c r="N114" s="713"/>
    </row>
    <row r="115" spans="1:14" ht="12" customHeight="1" thickBot="1" x14ac:dyDescent="0.25">
      <c r="A115" s="1450" t="s">
        <v>212</v>
      </c>
      <c r="B115" s="1448" t="s">
        <v>245</v>
      </c>
      <c r="C115" s="1449"/>
      <c r="D115" s="1449"/>
      <c r="E115" s="1449"/>
      <c r="F115" s="1445" t="s">
        <v>246</v>
      </c>
      <c r="G115" s="1446"/>
      <c r="H115" s="1447"/>
      <c r="I115" s="1445" t="s">
        <v>244</v>
      </c>
      <c r="J115" s="1446"/>
      <c r="K115" s="1446"/>
      <c r="L115" s="1446"/>
      <c r="M115" s="1446"/>
      <c r="N115" s="1447"/>
    </row>
    <row r="116" spans="1:14" ht="49.5" thickBot="1" x14ac:dyDescent="0.25">
      <c r="A116" s="1451"/>
      <c r="B116" s="309">
        <v>2019</v>
      </c>
      <c r="C116" s="310">
        <v>2020</v>
      </c>
      <c r="D116" s="310" t="s">
        <v>408</v>
      </c>
      <c r="E116" s="312" t="s">
        <v>409</v>
      </c>
      <c r="F116" s="309">
        <v>2019</v>
      </c>
      <c r="G116" s="310">
        <v>2020</v>
      </c>
      <c r="H116" s="310" t="s">
        <v>408</v>
      </c>
      <c r="I116" s="309">
        <v>2019</v>
      </c>
      <c r="J116" s="310" t="s">
        <v>400</v>
      </c>
      <c r="K116" s="310" t="s">
        <v>408</v>
      </c>
      <c r="L116" s="311" t="s">
        <v>410</v>
      </c>
      <c r="M116" s="311" t="s">
        <v>409</v>
      </c>
      <c r="N116" s="312" t="s">
        <v>411</v>
      </c>
    </row>
    <row r="117" spans="1:14" x14ac:dyDescent="0.2">
      <c r="A117" s="313"/>
      <c r="B117" s="314"/>
      <c r="C117" s="315"/>
      <c r="D117" s="315"/>
      <c r="E117" s="316"/>
      <c r="F117" s="314"/>
      <c r="G117" s="315"/>
      <c r="H117" s="317"/>
      <c r="I117" s="314"/>
      <c r="J117" s="315"/>
      <c r="K117" s="317"/>
      <c r="L117" s="316"/>
      <c r="M117" s="316"/>
      <c r="N117" s="317"/>
    </row>
    <row r="118" spans="1:14" ht="22.5" x14ac:dyDescent="0.2">
      <c r="A118" s="714" t="s">
        <v>243</v>
      </c>
      <c r="B118" s="319"/>
      <c r="C118" s="320"/>
      <c r="D118" s="320"/>
      <c r="E118" s="321"/>
      <c r="F118" s="319"/>
      <c r="G118" s="320"/>
      <c r="H118" s="322"/>
      <c r="I118" s="319"/>
      <c r="J118" s="320"/>
      <c r="K118" s="322"/>
      <c r="L118" s="321"/>
      <c r="M118" s="321"/>
      <c r="N118" s="322"/>
    </row>
    <row r="119" spans="1:14" x14ac:dyDescent="0.2">
      <c r="A119" s="715" t="s">
        <v>213</v>
      </c>
      <c r="B119" s="324"/>
      <c r="C119" s="325"/>
      <c r="D119" s="325"/>
      <c r="E119" s="326"/>
      <c r="F119" s="324"/>
      <c r="G119" s="325"/>
      <c r="H119" s="327"/>
      <c r="I119" s="324"/>
      <c r="J119" s="325"/>
      <c r="K119" s="327"/>
      <c r="L119" s="326"/>
      <c r="M119" s="326"/>
      <c r="N119" s="327"/>
    </row>
    <row r="120" spans="1:14" x14ac:dyDescent="0.2">
      <c r="A120" s="716"/>
      <c r="B120" s="324"/>
      <c r="C120" s="325"/>
      <c r="D120" s="325"/>
      <c r="E120" s="326"/>
      <c r="F120" s="324"/>
      <c r="G120" s="325"/>
      <c r="H120" s="327"/>
      <c r="I120" s="324"/>
      <c r="J120" s="325"/>
      <c r="K120" s="327"/>
      <c r="L120" s="326"/>
      <c r="M120" s="326"/>
      <c r="N120" s="327"/>
    </row>
    <row r="121" spans="1:14" x14ac:dyDescent="0.2">
      <c r="A121" s="714" t="s">
        <v>218</v>
      </c>
      <c r="B121" s="324"/>
      <c r="C121" s="325"/>
      <c r="D121" s="325"/>
      <c r="E121" s="326"/>
      <c r="F121" s="324"/>
      <c r="G121" s="325"/>
      <c r="H121" s="327"/>
      <c r="I121" s="324"/>
      <c r="J121" s="325"/>
      <c r="K121" s="327"/>
      <c r="L121" s="326"/>
      <c r="M121" s="326"/>
      <c r="N121" s="327"/>
    </row>
    <row r="122" spans="1:14" x14ac:dyDescent="0.2">
      <c r="A122" s="717" t="s">
        <v>214</v>
      </c>
      <c r="B122" s="324"/>
      <c r="C122" s="325"/>
      <c r="D122" s="325"/>
      <c r="E122" s="326"/>
      <c r="F122" s="324"/>
      <c r="G122" s="325"/>
      <c r="H122" s="327"/>
      <c r="I122" s="324"/>
      <c r="J122" s="325"/>
      <c r="K122" s="327"/>
      <c r="L122" s="326"/>
      <c r="M122" s="326"/>
      <c r="N122" s="327"/>
    </row>
    <row r="123" spans="1:14" x14ac:dyDescent="0.2">
      <c r="A123" s="717" t="s">
        <v>215</v>
      </c>
      <c r="B123" s="324"/>
      <c r="C123" s="325"/>
      <c r="D123" s="325"/>
      <c r="E123" s="326"/>
      <c r="F123" s="324"/>
      <c r="G123" s="325"/>
      <c r="H123" s="327"/>
      <c r="I123" s="324"/>
      <c r="J123" s="325"/>
      <c r="K123" s="327"/>
      <c r="L123" s="326"/>
      <c r="M123" s="326"/>
      <c r="N123" s="327"/>
    </row>
    <row r="124" spans="1:14" x14ac:dyDescent="0.2">
      <c r="A124" s="717" t="s">
        <v>216</v>
      </c>
      <c r="B124" s="324"/>
      <c r="C124" s="325"/>
      <c r="D124" s="325"/>
      <c r="E124" s="326"/>
      <c r="F124" s="324"/>
      <c r="G124" s="325"/>
      <c r="H124" s="327"/>
      <c r="I124" s="324"/>
      <c r="J124" s="325"/>
      <c r="K124" s="327"/>
      <c r="L124" s="326"/>
      <c r="M124" s="326"/>
      <c r="N124" s="327"/>
    </row>
    <row r="125" spans="1:14" x14ac:dyDescent="0.2">
      <c r="A125" s="717" t="s">
        <v>217</v>
      </c>
      <c r="B125" s="324"/>
      <c r="C125" s="325"/>
      <c r="D125" s="325"/>
      <c r="E125" s="326"/>
      <c r="F125" s="324"/>
      <c r="G125" s="325"/>
      <c r="H125" s="327"/>
      <c r="I125" s="324"/>
      <c r="J125" s="325"/>
      <c r="K125" s="327"/>
      <c r="L125" s="326"/>
      <c r="M125" s="326"/>
      <c r="N125" s="327"/>
    </row>
    <row r="126" spans="1:14" x14ac:dyDescent="0.2">
      <c r="A126" s="717"/>
      <c r="B126" s="319"/>
      <c r="C126" s="320"/>
      <c r="D126" s="320"/>
      <c r="E126" s="321"/>
      <c r="F126" s="319"/>
      <c r="G126" s="320"/>
      <c r="H126" s="322"/>
      <c r="I126" s="319"/>
      <c r="J126" s="320"/>
      <c r="K126" s="322"/>
      <c r="L126" s="321"/>
      <c r="M126" s="321"/>
      <c r="N126" s="322"/>
    </row>
    <row r="127" spans="1:14" x14ac:dyDescent="0.2">
      <c r="A127" s="714" t="s">
        <v>237</v>
      </c>
      <c r="B127" s="324"/>
      <c r="C127" s="325"/>
      <c r="D127" s="325"/>
      <c r="E127" s="326"/>
      <c r="F127" s="324"/>
      <c r="G127" s="325"/>
      <c r="H127" s="327"/>
      <c r="I127" s="324"/>
      <c r="J127" s="325"/>
      <c r="K127" s="327"/>
      <c r="L127" s="326"/>
      <c r="M127" s="326"/>
      <c r="N127" s="327"/>
    </row>
    <row r="128" spans="1:14" x14ac:dyDescent="0.2">
      <c r="A128" s="717" t="s">
        <v>219</v>
      </c>
      <c r="B128" s="324"/>
      <c r="C128" s="325"/>
      <c r="D128" s="325"/>
      <c r="E128" s="326"/>
      <c r="F128" s="324"/>
      <c r="G128" s="325"/>
      <c r="H128" s="327"/>
      <c r="I128" s="324"/>
      <c r="J128" s="325"/>
      <c r="K128" s="327"/>
      <c r="L128" s="326"/>
      <c r="M128" s="326"/>
      <c r="N128" s="327"/>
    </row>
    <row r="129" spans="1:14" x14ac:dyDescent="0.2">
      <c r="A129" s="717" t="s">
        <v>220</v>
      </c>
      <c r="B129" s="324"/>
      <c r="C129" s="325"/>
      <c r="D129" s="325"/>
      <c r="E129" s="326"/>
      <c r="F129" s="324"/>
      <c r="G129" s="325"/>
      <c r="H129" s="327"/>
      <c r="I129" s="324"/>
      <c r="J129" s="325"/>
      <c r="K129" s="327"/>
      <c r="L129" s="326"/>
      <c r="M129" s="326"/>
      <c r="N129" s="327"/>
    </row>
    <row r="130" spans="1:14" x14ac:dyDescent="0.2">
      <c r="A130" s="717" t="s">
        <v>221</v>
      </c>
      <c r="B130" s="324"/>
      <c r="C130" s="325"/>
      <c r="D130" s="325"/>
      <c r="E130" s="326"/>
      <c r="F130" s="324"/>
      <c r="G130" s="325"/>
      <c r="H130" s="327"/>
      <c r="I130" s="324"/>
      <c r="J130" s="325"/>
      <c r="K130" s="327"/>
      <c r="L130" s="326"/>
      <c r="M130" s="326"/>
      <c r="N130" s="327"/>
    </row>
    <row r="131" spans="1:14" x14ac:dyDescent="0.2">
      <c r="A131" s="717" t="s">
        <v>222</v>
      </c>
      <c r="B131" s="324"/>
      <c r="C131" s="325"/>
      <c r="D131" s="325"/>
      <c r="E131" s="326"/>
      <c r="F131" s="324"/>
      <c r="G131" s="325"/>
      <c r="H131" s="327"/>
      <c r="I131" s="324"/>
      <c r="J131" s="325"/>
      <c r="K131" s="327"/>
      <c r="L131" s="326"/>
      <c r="M131" s="326"/>
      <c r="N131" s="327"/>
    </row>
    <row r="132" spans="1:14" ht="22.5" x14ac:dyDescent="0.2">
      <c r="A132" s="717" t="s">
        <v>223</v>
      </c>
      <c r="B132" s="324"/>
      <c r="C132" s="325"/>
      <c r="D132" s="325"/>
      <c r="E132" s="326"/>
      <c r="F132" s="324"/>
      <c r="G132" s="325"/>
      <c r="H132" s="327"/>
      <c r="I132" s="324"/>
      <c r="J132" s="325"/>
      <c r="K132" s="327"/>
      <c r="L132" s="326"/>
      <c r="M132" s="326"/>
      <c r="N132" s="327"/>
    </row>
    <row r="133" spans="1:14" x14ac:dyDescent="0.2">
      <c r="A133" s="724"/>
      <c r="B133" s="324"/>
      <c r="C133" s="325"/>
      <c r="D133" s="325"/>
      <c r="E133" s="326"/>
      <c r="F133" s="324"/>
      <c r="G133" s="325"/>
      <c r="H133" s="327"/>
      <c r="I133" s="324"/>
      <c r="J133" s="325"/>
      <c r="K133" s="327"/>
      <c r="L133" s="326"/>
      <c r="M133" s="326"/>
      <c r="N133" s="327"/>
    </row>
    <row r="134" spans="1:14" x14ac:dyDescent="0.2">
      <c r="A134" s="725" t="s">
        <v>238</v>
      </c>
      <c r="B134" s="324"/>
      <c r="C134" s="325"/>
      <c r="D134" s="325"/>
      <c r="E134" s="326"/>
      <c r="F134" s="324"/>
      <c r="G134" s="325"/>
      <c r="H134" s="327"/>
      <c r="I134" s="324"/>
      <c r="J134" s="325"/>
      <c r="K134" s="327"/>
      <c r="L134" s="326"/>
      <c r="M134" s="326"/>
      <c r="N134" s="327"/>
    </row>
    <row r="135" spans="1:14" x14ac:dyDescent="0.2">
      <c r="A135" s="717" t="s">
        <v>224</v>
      </c>
      <c r="B135" s="324"/>
      <c r="C135" s="325"/>
      <c r="D135" s="325"/>
      <c r="E135" s="326"/>
      <c r="F135" s="324"/>
      <c r="G135" s="325"/>
      <c r="H135" s="327"/>
      <c r="I135" s="324"/>
      <c r="J135" s="325"/>
      <c r="K135" s="327"/>
      <c r="L135" s="326"/>
      <c r="M135" s="326"/>
      <c r="N135" s="327"/>
    </row>
    <row r="136" spans="1:14" x14ac:dyDescent="0.2">
      <c r="A136" s="717" t="s">
        <v>225</v>
      </c>
      <c r="B136" s="324"/>
      <c r="C136" s="325"/>
      <c r="D136" s="325"/>
      <c r="E136" s="326"/>
      <c r="F136" s="324"/>
      <c r="G136" s="325"/>
      <c r="H136" s="327"/>
      <c r="I136" s="324"/>
      <c r="J136" s="325"/>
      <c r="K136" s="327"/>
      <c r="L136" s="326"/>
      <c r="M136" s="326"/>
      <c r="N136" s="327"/>
    </row>
    <row r="137" spans="1:14" x14ac:dyDescent="0.2">
      <c r="A137" s="717" t="s">
        <v>226</v>
      </c>
      <c r="B137" s="324"/>
      <c r="C137" s="325"/>
      <c r="D137" s="325"/>
      <c r="E137" s="326"/>
      <c r="F137" s="324"/>
      <c r="G137" s="325"/>
      <c r="H137" s="327"/>
      <c r="I137" s="324"/>
      <c r="J137" s="325"/>
      <c r="K137" s="327"/>
      <c r="L137" s="326"/>
      <c r="M137" s="326"/>
      <c r="N137" s="327"/>
    </row>
    <row r="138" spans="1:14" x14ac:dyDescent="0.2">
      <c r="A138" s="717"/>
      <c r="B138" s="324"/>
      <c r="C138" s="325"/>
      <c r="D138" s="325"/>
      <c r="E138" s="326"/>
      <c r="F138" s="324"/>
      <c r="G138" s="325"/>
      <c r="H138" s="327"/>
      <c r="I138" s="324"/>
      <c r="J138" s="325"/>
      <c r="K138" s="327"/>
      <c r="L138" s="326"/>
      <c r="M138" s="326"/>
      <c r="N138" s="327"/>
    </row>
    <row r="139" spans="1:14" x14ac:dyDescent="0.2">
      <c r="A139" s="725" t="s">
        <v>239</v>
      </c>
      <c r="B139" s="324"/>
      <c r="C139" s="325"/>
      <c r="D139" s="325"/>
      <c r="E139" s="326"/>
      <c r="F139" s="324"/>
      <c r="G139" s="325"/>
      <c r="H139" s="327"/>
      <c r="I139" s="324"/>
      <c r="J139" s="325"/>
      <c r="K139" s="327"/>
      <c r="L139" s="326"/>
      <c r="M139" s="326"/>
      <c r="N139" s="327"/>
    </row>
    <row r="140" spans="1:14" x14ac:dyDescent="0.2">
      <c r="A140" s="717" t="s">
        <v>227</v>
      </c>
      <c r="B140" s="324"/>
      <c r="C140" s="325"/>
      <c r="D140" s="325"/>
      <c r="E140" s="326"/>
      <c r="F140" s="324"/>
      <c r="G140" s="325"/>
      <c r="H140" s="327"/>
      <c r="I140" s="324"/>
      <c r="J140" s="325"/>
      <c r="K140" s="327"/>
      <c r="L140" s="326"/>
      <c r="M140" s="326"/>
      <c r="N140" s="327"/>
    </row>
    <row r="141" spans="1:14" x14ac:dyDescent="0.2">
      <c r="A141" s="717" t="s">
        <v>225</v>
      </c>
      <c r="B141" s="324"/>
      <c r="C141" s="325"/>
      <c r="D141" s="325"/>
      <c r="E141" s="326"/>
      <c r="F141" s="324"/>
      <c r="G141" s="325"/>
      <c r="H141" s="327"/>
      <c r="I141" s="324"/>
      <c r="J141" s="325"/>
      <c r="K141" s="327"/>
      <c r="L141" s="326"/>
      <c r="M141" s="326"/>
      <c r="N141" s="327"/>
    </row>
    <row r="142" spans="1:14" x14ac:dyDescent="0.2">
      <c r="A142" s="717"/>
      <c r="B142" s="324"/>
      <c r="C142" s="325"/>
      <c r="D142" s="325"/>
      <c r="E142" s="326"/>
      <c r="F142" s="324"/>
      <c r="G142" s="325"/>
      <c r="H142" s="327"/>
      <c r="I142" s="324"/>
      <c r="J142" s="325"/>
      <c r="K142" s="327"/>
      <c r="L142" s="326"/>
      <c r="M142" s="326"/>
      <c r="N142" s="327"/>
    </row>
    <row r="143" spans="1:14" x14ac:dyDescent="0.2">
      <c r="A143" s="725" t="s">
        <v>240</v>
      </c>
      <c r="B143" s="324"/>
      <c r="C143" s="325"/>
      <c r="D143" s="325"/>
      <c r="E143" s="326"/>
      <c r="F143" s="324"/>
      <c r="G143" s="325"/>
      <c r="H143" s="327"/>
      <c r="I143" s="324"/>
      <c r="J143" s="325"/>
      <c r="K143" s="327"/>
      <c r="L143" s="326"/>
      <c r="M143" s="326"/>
      <c r="N143" s="327"/>
    </row>
    <row r="144" spans="1:14" ht="12" x14ac:dyDescent="0.2">
      <c r="A144" s="1249" t="s">
        <v>228</v>
      </c>
      <c r="B144" s="1250">
        <v>11736767</v>
      </c>
      <c r="C144" s="325">
        <v>11164737</v>
      </c>
      <c r="D144" s="402">
        <f>D146</f>
        <v>-572030</v>
      </c>
      <c r="E144" s="1251">
        <v>11589047</v>
      </c>
      <c r="F144" s="326">
        <v>11549433</v>
      </c>
      <c r="G144" s="325">
        <v>11348917</v>
      </c>
      <c r="H144" s="402">
        <f>G144-F144</f>
        <v>-200516</v>
      </c>
      <c r="I144" s="324">
        <v>800</v>
      </c>
      <c r="J144" s="325">
        <v>840</v>
      </c>
      <c r="K144" s="1251">
        <f>J144-I144</f>
        <v>40</v>
      </c>
      <c r="L144" s="326">
        <v>850</v>
      </c>
      <c r="M144" s="326">
        <v>850</v>
      </c>
      <c r="N144" s="1251">
        <f>L144-M144</f>
        <v>0</v>
      </c>
    </row>
    <row r="145" spans="1:14" x14ac:dyDescent="0.2">
      <c r="A145" s="717" t="s">
        <v>226</v>
      </c>
      <c r="B145" s="324"/>
      <c r="C145" s="325"/>
      <c r="D145" s="325"/>
      <c r="E145" s="1251"/>
      <c r="F145" s="326"/>
      <c r="G145" s="325"/>
      <c r="H145" s="327"/>
      <c r="I145" s="324"/>
      <c r="J145" s="325"/>
      <c r="K145" s="1251"/>
      <c r="L145" s="326"/>
      <c r="M145" s="326"/>
      <c r="N145" s="1251"/>
    </row>
    <row r="146" spans="1:14" x14ac:dyDescent="0.2">
      <c r="A146" s="717" t="s">
        <v>229</v>
      </c>
      <c r="B146" s="1250">
        <v>11736767</v>
      </c>
      <c r="C146" s="325">
        <v>11164737</v>
      </c>
      <c r="D146" s="402">
        <f>C146-B146</f>
        <v>-572030</v>
      </c>
      <c r="E146" s="1251">
        <v>11589047</v>
      </c>
      <c r="F146" s="326">
        <v>11549433</v>
      </c>
      <c r="G146" s="325">
        <v>11348917</v>
      </c>
      <c r="H146" s="402">
        <f>G146-F146</f>
        <v>-200516</v>
      </c>
      <c r="I146" s="324">
        <v>800</v>
      </c>
      <c r="J146" s="325">
        <v>840</v>
      </c>
      <c r="K146" s="1251">
        <f>J146-I146</f>
        <v>40</v>
      </c>
      <c r="L146" s="326">
        <v>850</v>
      </c>
      <c r="M146" s="326">
        <v>850</v>
      </c>
      <c r="N146" s="1251">
        <f>L146-M146</f>
        <v>0</v>
      </c>
    </row>
    <row r="147" spans="1:14" x14ac:dyDescent="0.2">
      <c r="A147" s="717" t="s">
        <v>230</v>
      </c>
      <c r="B147" s="324"/>
      <c r="C147" s="325"/>
      <c r="D147" s="325"/>
      <c r="E147" s="326"/>
      <c r="F147" s="324"/>
      <c r="G147" s="325"/>
      <c r="H147" s="327"/>
      <c r="I147" s="324"/>
      <c r="J147" s="325"/>
      <c r="K147" s="327"/>
      <c r="L147" s="326"/>
      <c r="M147" s="326"/>
      <c r="N147" s="1251"/>
    </row>
    <row r="148" spans="1:14" x14ac:dyDescent="0.2">
      <c r="A148" s="717"/>
      <c r="B148" s="324"/>
      <c r="C148" s="325"/>
      <c r="D148" s="325"/>
      <c r="E148" s="326"/>
      <c r="F148" s="324"/>
      <c r="G148" s="325"/>
      <c r="H148" s="327"/>
      <c r="I148" s="324"/>
      <c r="J148" s="325"/>
      <c r="K148" s="327"/>
      <c r="L148" s="326"/>
      <c r="M148" s="326"/>
      <c r="N148" s="327"/>
    </row>
    <row r="149" spans="1:14" x14ac:dyDescent="0.2">
      <c r="A149" s="725" t="s">
        <v>241</v>
      </c>
      <c r="B149" s="324"/>
      <c r="C149" s="325"/>
      <c r="D149" s="325"/>
      <c r="E149" s="326"/>
      <c r="F149" s="324"/>
      <c r="G149" s="325"/>
      <c r="H149" s="327"/>
      <c r="I149" s="324"/>
      <c r="J149" s="325"/>
      <c r="K149" s="327"/>
      <c r="L149" s="326"/>
      <c r="M149" s="326"/>
      <c r="N149" s="327"/>
    </row>
    <row r="150" spans="1:14" x14ac:dyDescent="0.2">
      <c r="A150" s="717" t="s">
        <v>231</v>
      </c>
      <c r="B150" s="324"/>
      <c r="C150" s="325"/>
      <c r="D150" s="325"/>
      <c r="E150" s="326"/>
      <c r="F150" s="324"/>
      <c r="G150" s="325"/>
      <c r="H150" s="327"/>
      <c r="I150" s="324"/>
      <c r="J150" s="325"/>
      <c r="K150" s="327"/>
      <c r="L150" s="326"/>
      <c r="M150" s="326"/>
      <c r="N150" s="327"/>
    </row>
    <row r="151" spans="1:14" x14ac:dyDescent="0.2">
      <c r="A151" s="717" t="s">
        <v>232</v>
      </c>
      <c r="B151" s="324"/>
      <c r="C151" s="325"/>
      <c r="D151" s="325"/>
      <c r="E151" s="326"/>
      <c r="F151" s="324"/>
      <c r="G151" s="325"/>
      <c r="H151" s="327"/>
      <c r="I151" s="324"/>
      <c r="J151" s="325"/>
      <c r="K151" s="327"/>
      <c r="L151" s="326"/>
      <c r="M151" s="326"/>
      <c r="N151" s="327"/>
    </row>
    <row r="152" spans="1:14" ht="22.5" x14ac:dyDescent="0.2">
      <c r="A152" s="717" t="s">
        <v>233</v>
      </c>
      <c r="B152" s="324"/>
      <c r="C152" s="325"/>
      <c r="D152" s="325"/>
      <c r="E152" s="326"/>
      <c r="F152" s="324"/>
      <c r="G152" s="325"/>
      <c r="H152" s="327"/>
      <c r="I152" s="324"/>
      <c r="J152" s="325"/>
      <c r="K152" s="327"/>
      <c r="L152" s="326"/>
      <c r="M152" s="326"/>
      <c r="N152" s="327"/>
    </row>
    <row r="153" spans="1:14" ht="22.5" x14ac:dyDescent="0.2">
      <c r="A153" s="717" t="s">
        <v>234</v>
      </c>
      <c r="B153" s="324"/>
      <c r="C153" s="325"/>
      <c r="D153" s="325"/>
      <c r="E153" s="326"/>
      <c r="F153" s="324"/>
      <c r="G153" s="325"/>
      <c r="H153" s="327"/>
      <c r="I153" s="324"/>
      <c r="J153" s="325"/>
      <c r="K153" s="327"/>
      <c r="L153" s="326"/>
      <c r="M153" s="326"/>
      <c r="N153" s="327"/>
    </row>
    <row r="154" spans="1:14" x14ac:dyDescent="0.2">
      <c r="A154" s="717"/>
      <c r="B154" s="324"/>
      <c r="C154" s="325"/>
      <c r="D154" s="325"/>
      <c r="E154" s="326"/>
      <c r="F154" s="324"/>
      <c r="G154" s="325"/>
      <c r="H154" s="327"/>
      <c r="I154" s="324"/>
      <c r="J154" s="325"/>
      <c r="K154" s="327"/>
      <c r="L154" s="326"/>
      <c r="M154" s="326"/>
      <c r="N154" s="327"/>
    </row>
    <row r="155" spans="1:14" x14ac:dyDescent="0.2">
      <c r="A155" s="725" t="s">
        <v>242</v>
      </c>
      <c r="B155" s="324"/>
      <c r="C155" s="325"/>
      <c r="D155" s="325"/>
      <c r="E155" s="326"/>
      <c r="F155" s="324"/>
      <c r="G155" s="325"/>
      <c r="H155" s="327"/>
      <c r="I155" s="324"/>
      <c r="J155" s="325"/>
      <c r="K155" s="327"/>
      <c r="L155" s="326"/>
      <c r="M155" s="326"/>
      <c r="N155" s="327"/>
    </row>
    <row r="156" spans="1:14" x14ac:dyDescent="0.2">
      <c r="A156" s="717" t="s">
        <v>235</v>
      </c>
      <c r="B156" s="324"/>
      <c r="C156" s="325"/>
      <c r="D156" s="325"/>
      <c r="E156" s="326"/>
      <c r="F156" s="324"/>
      <c r="G156" s="325"/>
      <c r="H156" s="327"/>
      <c r="I156" s="324"/>
      <c r="J156" s="325"/>
      <c r="K156" s="327"/>
      <c r="L156" s="326"/>
      <c r="M156" s="326"/>
      <c r="N156" s="327"/>
    </row>
    <row r="157" spans="1:14" ht="22.5" x14ac:dyDescent="0.2">
      <c r="A157" s="717" t="s">
        <v>236</v>
      </c>
      <c r="B157" s="324"/>
      <c r="C157" s="325"/>
      <c r="D157" s="325"/>
      <c r="E157" s="326"/>
      <c r="F157" s="324"/>
      <c r="G157" s="325"/>
      <c r="H157" s="327"/>
      <c r="I157" s="324"/>
      <c r="J157" s="325"/>
      <c r="K157" s="327"/>
      <c r="L157" s="326"/>
      <c r="M157" s="326"/>
      <c r="N157" s="327"/>
    </row>
    <row r="158" spans="1:14" ht="12" thickBot="1" x14ac:dyDescent="0.25">
      <c r="A158" s="332"/>
      <c r="B158" s="324"/>
      <c r="C158" s="325"/>
      <c r="D158" s="325"/>
      <c r="E158" s="326"/>
      <c r="F158" s="324"/>
      <c r="G158" s="325"/>
      <c r="H158" s="327"/>
      <c r="I158" s="324"/>
      <c r="J158" s="325"/>
      <c r="K158" s="327"/>
      <c r="L158" s="326"/>
      <c r="M158" s="326"/>
      <c r="N158" s="327"/>
    </row>
    <row r="159" spans="1:14" ht="12" thickBot="1" x14ac:dyDescent="0.25">
      <c r="A159" s="726"/>
      <c r="B159" s="727"/>
      <c r="C159" s="728"/>
      <c r="D159" s="729"/>
      <c r="E159" s="730"/>
      <c r="F159" s="727"/>
      <c r="G159" s="731"/>
      <c r="H159" s="730"/>
      <c r="I159" s="727"/>
      <c r="J159" s="728"/>
      <c r="K159" s="732"/>
      <c r="L159" s="731"/>
      <c r="M159" s="731"/>
      <c r="N159" s="730"/>
    </row>
    <row r="160" spans="1:14" ht="12" thickBot="1" x14ac:dyDescent="0.25">
      <c r="A160" s="1252" t="s">
        <v>0</v>
      </c>
      <c r="B160" s="1253">
        <f t="shared" ref="B160:N160" si="0">B144</f>
        <v>11736767</v>
      </c>
      <c r="C160" s="1254">
        <f t="shared" si="0"/>
        <v>11164737</v>
      </c>
      <c r="D160" s="1255">
        <f t="shared" si="0"/>
        <v>-572030</v>
      </c>
      <c r="E160" s="1256">
        <f t="shared" si="0"/>
        <v>11589047</v>
      </c>
      <c r="F160" s="1253">
        <f t="shared" si="0"/>
        <v>11549433</v>
      </c>
      <c r="G160" s="1257">
        <f t="shared" si="0"/>
        <v>11348917</v>
      </c>
      <c r="H160" s="1256">
        <f t="shared" si="0"/>
        <v>-200516</v>
      </c>
      <c r="I160" s="1253">
        <f t="shared" si="0"/>
        <v>800</v>
      </c>
      <c r="J160" s="1257">
        <f t="shared" si="0"/>
        <v>840</v>
      </c>
      <c r="K160" s="1256">
        <f t="shared" si="0"/>
        <v>40</v>
      </c>
      <c r="L160" s="1253">
        <f t="shared" si="0"/>
        <v>850</v>
      </c>
      <c r="M160" s="1257">
        <f t="shared" si="0"/>
        <v>850</v>
      </c>
      <c r="N160" s="1256">
        <f t="shared" si="0"/>
        <v>0</v>
      </c>
    </row>
    <row r="161" spans="1:14" ht="12" thickBot="1" x14ac:dyDescent="0.25">
      <c r="A161" s="1258" t="s">
        <v>22</v>
      </c>
      <c r="B161" s="1259"/>
      <c r="C161" s="1260"/>
      <c r="D161" s="1261"/>
      <c r="E161" s="1262"/>
      <c r="F161" s="1263"/>
      <c r="G161" s="1264"/>
      <c r="H161" s="1262"/>
      <c r="I161" s="1263"/>
      <c r="J161" s="1265"/>
      <c r="K161" s="1266"/>
      <c r="L161" s="1264"/>
      <c r="M161" s="1264"/>
      <c r="N161" s="1262"/>
    </row>
    <row r="162" spans="1:14" x14ac:dyDescent="0.2">
      <c r="A162" s="98" t="s">
        <v>412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1:14" x14ac:dyDescent="0.2">
      <c r="A163" s="98" t="s">
        <v>413</v>
      </c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</row>
    <row r="166" spans="1:14" x14ac:dyDescent="0.2">
      <c r="A166" s="307" t="s">
        <v>407</v>
      </c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</row>
    <row r="167" spans="1:14" x14ac:dyDescent="0.2">
      <c r="A167" s="181" t="s">
        <v>460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</row>
    <row r="168" spans="1:14" ht="12" thickBot="1" x14ac:dyDescent="0.25">
      <c r="A168" s="173" t="s">
        <v>1395</v>
      </c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</row>
    <row r="169" spans="1:14" ht="12" thickBot="1" x14ac:dyDescent="0.25">
      <c r="A169" s="1450" t="s">
        <v>212</v>
      </c>
      <c r="B169" s="1448" t="s">
        <v>245</v>
      </c>
      <c r="C169" s="1449"/>
      <c r="D169" s="1449"/>
      <c r="E169" s="1449"/>
      <c r="F169" s="1445" t="s">
        <v>246</v>
      </c>
      <c r="G169" s="1446"/>
      <c r="H169" s="1447"/>
      <c r="I169" s="1445" t="s">
        <v>244</v>
      </c>
      <c r="J169" s="1446"/>
      <c r="K169" s="1446"/>
      <c r="L169" s="1446"/>
      <c r="M169" s="1446"/>
      <c r="N169" s="1447"/>
    </row>
    <row r="170" spans="1:14" ht="49.5" thickBot="1" x14ac:dyDescent="0.25">
      <c r="A170" s="1451"/>
      <c r="B170" s="309">
        <v>2019</v>
      </c>
      <c r="C170" s="310">
        <v>2020</v>
      </c>
      <c r="D170" s="310" t="s">
        <v>408</v>
      </c>
      <c r="E170" s="312" t="s">
        <v>409</v>
      </c>
      <c r="F170" s="309">
        <v>2019</v>
      </c>
      <c r="G170" s="310">
        <v>2020</v>
      </c>
      <c r="H170" s="310" t="s">
        <v>408</v>
      </c>
      <c r="I170" s="309">
        <v>2019</v>
      </c>
      <c r="J170" s="310" t="s">
        <v>400</v>
      </c>
      <c r="K170" s="310" t="s">
        <v>408</v>
      </c>
      <c r="L170" s="311" t="s">
        <v>410</v>
      </c>
      <c r="M170" s="311" t="s">
        <v>409</v>
      </c>
      <c r="N170" s="312" t="s">
        <v>411</v>
      </c>
    </row>
    <row r="171" spans="1:14" x14ac:dyDescent="0.2">
      <c r="A171" s="313"/>
      <c r="B171" s="314"/>
      <c r="C171" s="315"/>
      <c r="D171" s="315"/>
      <c r="E171" s="316"/>
      <c r="F171" s="314"/>
      <c r="G171" s="315"/>
      <c r="H171" s="317"/>
      <c r="I171" s="314"/>
      <c r="J171" s="315"/>
      <c r="K171" s="317"/>
      <c r="L171" s="316"/>
      <c r="M171" s="316"/>
      <c r="N171" s="317"/>
    </row>
    <row r="172" spans="1:14" ht="22.5" x14ac:dyDescent="0.2">
      <c r="A172" s="318" t="s">
        <v>243</v>
      </c>
      <c r="B172" s="319"/>
      <c r="C172" s="320"/>
      <c r="D172" s="320"/>
      <c r="E172" s="321"/>
      <c r="F172" s="319"/>
      <c r="G172" s="320"/>
      <c r="H172" s="322"/>
      <c r="I172" s="319"/>
      <c r="J172" s="320"/>
      <c r="K172" s="322"/>
      <c r="L172" s="321"/>
      <c r="M172" s="321"/>
      <c r="N172" s="322"/>
    </row>
    <row r="173" spans="1:14" x14ac:dyDescent="0.2">
      <c r="A173" s="323" t="s">
        <v>213</v>
      </c>
      <c r="B173" s="324"/>
      <c r="C173" s="325"/>
      <c r="D173" s="325"/>
      <c r="E173" s="326"/>
      <c r="F173" s="324"/>
      <c r="G173" s="325"/>
      <c r="H173" s="327"/>
      <c r="I173" s="324"/>
      <c r="J173" s="325"/>
      <c r="K173" s="327"/>
      <c r="L173" s="326"/>
      <c r="M173" s="326"/>
      <c r="N173" s="327"/>
    </row>
    <row r="174" spans="1:14" x14ac:dyDescent="0.2">
      <c r="A174" s="328"/>
      <c r="B174" s="324"/>
      <c r="C174" s="325"/>
      <c r="D174" s="325"/>
      <c r="E174" s="326"/>
      <c r="F174" s="324"/>
      <c r="G174" s="325"/>
      <c r="H174" s="327"/>
      <c r="I174" s="324"/>
      <c r="J174" s="325"/>
      <c r="K174" s="327"/>
      <c r="L174" s="326"/>
      <c r="M174" s="326"/>
      <c r="N174" s="327"/>
    </row>
    <row r="175" spans="1:14" x14ac:dyDescent="0.2">
      <c r="A175" s="318" t="s">
        <v>218</v>
      </c>
      <c r="B175" s="324"/>
      <c r="C175" s="325"/>
      <c r="D175" s="325"/>
      <c r="E175" s="326"/>
      <c r="F175" s="324"/>
      <c r="G175" s="325"/>
      <c r="H175" s="327"/>
      <c r="I175" s="324"/>
      <c r="J175" s="325"/>
      <c r="K175" s="327"/>
      <c r="L175" s="326"/>
      <c r="M175" s="326"/>
      <c r="N175" s="327"/>
    </row>
    <row r="176" spans="1:14" x14ac:dyDescent="0.2">
      <c r="A176" s="329" t="s">
        <v>214</v>
      </c>
      <c r="B176" s="324"/>
      <c r="C176" s="325"/>
      <c r="D176" s="325"/>
      <c r="E176" s="326"/>
      <c r="F176" s="324"/>
      <c r="G176" s="325"/>
      <c r="H176" s="327"/>
      <c r="I176" s="324"/>
      <c r="J176" s="325"/>
      <c r="K176" s="327"/>
      <c r="L176" s="326"/>
      <c r="M176" s="326"/>
      <c r="N176" s="327"/>
    </row>
    <row r="177" spans="1:14" x14ac:dyDescent="0.2">
      <c r="A177" s="329" t="s">
        <v>215</v>
      </c>
      <c r="B177" s="324"/>
      <c r="C177" s="325"/>
      <c r="D177" s="325"/>
      <c r="E177" s="326"/>
      <c r="F177" s="324"/>
      <c r="G177" s="325"/>
      <c r="H177" s="327"/>
      <c r="I177" s="324"/>
      <c r="J177" s="325"/>
      <c r="K177" s="327"/>
      <c r="L177" s="326"/>
      <c r="M177" s="326"/>
      <c r="N177" s="327"/>
    </row>
    <row r="178" spans="1:14" x14ac:dyDescent="0.2">
      <c r="A178" s="329" t="s">
        <v>216</v>
      </c>
      <c r="B178" s="324"/>
      <c r="C178" s="325"/>
      <c r="D178" s="325"/>
      <c r="E178" s="326"/>
      <c r="F178" s="324"/>
      <c r="G178" s="325"/>
      <c r="H178" s="327"/>
      <c r="I178" s="324"/>
      <c r="J178" s="325"/>
      <c r="K178" s="327"/>
      <c r="L178" s="326"/>
      <c r="M178" s="326"/>
      <c r="N178" s="327"/>
    </row>
    <row r="179" spans="1:14" x14ac:dyDescent="0.2">
      <c r="A179" s="329" t="s">
        <v>217</v>
      </c>
      <c r="B179" s="324"/>
      <c r="C179" s="325"/>
      <c r="D179" s="325"/>
      <c r="E179" s="326"/>
      <c r="F179" s="324"/>
      <c r="G179" s="325"/>
      <c r="H179" s="327"/>
      <c r="I179" s="324"/>
      <c r="J179" s="325"/>
      <c r="K179" s="327"/>
      <c r="L179" s="326"/>
      <c r="M179" s="326"/>
      <c r="N179" s="327"/>
    </row>
    <row r="180" spans="1:14" x14ac:dyDescent="0.2">
      <c r="A180" s="329"/>
      <c r="B180" s="319"/>
      <c r="C180" s="320"/>
      <c r="D180" s="320"/>
      <c r="E180" s="321"/>
      <c r="F180" s="319"/>
      <c r="G180" s="320"/>
      <c r="H180" s="322"/>
      <c r="I180" s="319"/>
      <c r="J180" s="320"/>
      <c r="K180" s="322"/>
      <c r="L180" s="321"/>
      <c r="M180" s="321"/>
      <c r="N180" s="322"/>
    </row>
    <row r="181" spans="1:14" x14ac:dyDescent="0.2">
      <c r="A181" s="318" t="s">
        <v>237</v>
      </c>
      <c r="B181" s="324"/>
      <c r="C181" s="325"/>
      <c r="D181" s="325"/>
      <c r="E181" s="326"/>
      <c r="F181" s="324"/>
      <c r="G181" s="325"/>
      <c r="H181" s="327"/>
      <c r="I181" s="324"/>
      <c r="J181" s="325"/>
      <c r="K181" s="327"/>
      <c r="L181" s="326"/>
      <c r="M181" s="326"/>
      <c r="N181" s="327"/>
    </row>
    <row r="182" spans="1:14" x14ac:dyDescent="0.2">
      <c r="A182" s="329" t="s">
        <v>219</v>
      </c>
      <c r="B182" s="324"/>
      <c r="C182" s="325"/>
      <c r="D182" s="325"/>
      <c r="E182" s="326"/>
      <c r="F182" s="324"/>
      <c r="G182" s="325"/>
      <c r="H182" s="327"/>
      <c r="I182" s="324"/>
      <c r="J182" s="325"/>
      <c r="K182" s="327"/>
      <c r="L182" s="326"/>
      <c r="M182" s="326"/>
      <c r="N182" s="327"/>
    </row>
    <row r="183" spans="1:14" x14ac:dyDescent="0.2">
      <c r="A183" s="329" t="s">
        <v>220</v>
      </c>
      <c r="B183" s="324"/>
      <c r="C183" s="325"/>
      <c r="D183" s="325"/>
      <c r="E183" s="326"/>
      <c r="F183" s="324"/>
      <c r="G183" s="325"/>
      <c r="H183" s="327"/>
      <c r="I183" s="324"/>
      <c r="J183" s="325"/>
      <c r="K183" s="327"/>
      <c r="L183" s="326"/>
      <c r="M183" s="326"/>
      <c r="N183" s="327"/>
    </row>
    <row r="184" spans="1:14" x14ac:dyDescent="0.2">
      <c r="A184" s="329" t="s">
        <v>221</v>
      </c>
      <c r="B184" s="324"/>
      <c r="C184" s="325"/>
      <c r="D184" s="325"/>
      <c r="E184" s="326"/>
      <c r="F184" s="324"/>
      <c r="G184" s="325"/>
      <c r="H184" s="327"/>
      <c r="I184" s="324"/>
      <c r="J184" s="325"/>
      <c r="K184" s="327"/>
      <c r="L184" s="326"/>
      <c r="M184" s="326"/>
      <c r="N184" s="327"/>
    </row>
    <row r="185" spans="1:14" x14ac:dyDescent="0.2">
      <c r="A185" s="329" t="s">
        <v>222</v>
      </c>
      <c r="B185" s="324"/>
      <c r="C185" s="325"/>
      <c r="D185" s="325"/>
      <c r="E185" s="326"/>
      <c r="F185" s="324"/>
      <c r="G185" s="325"/>
      <c r="H185" s="327"/>
      <c r="I185" s="324"/>
      <c r="J185" s="325"/>
      <c r="K185" s="327"/>
      <c r="L185" s="326"/>
      <c r="M185" s="326"/>
      <c r="N185" s="327"/>
    </row>
    <row r="186" spans="1:14" ht="22.5" x14ac:dyDescent="0.2">
      <c r="A186" s="329" t="s">
        <v>223</v>
      </c>
      <c r="B186" s="324"/>
      <c r="C186" s="325"/>
      <c r="D186" s="325"/>
      <c r="E186" s="326"/>
      <c r="F186" s="324"/>
      <c r="G186" s="325"/>
      <c r="H186" s="327"/>
      <c r="I186" s="324"/>
      <c r="J186" s="325"/>
      <c r="K186" s="327"/>
      <c r="L186" s="326"/>
      <c r="M186" s="326"/>
      <c r="N186" s="327"/>
    </row>
    <row r="187" spans="1:14" x14ac:dyDescent="0.2">
      <c r="A187" s="330"/>
      <c r="B187" s="324"/>
      <c r="C187" s="325"/>
      <c r="D187" s="325"/>
      <c r="E187" s="326"/>
      <c r="F187" s="324"/>
      <c r="G187" s="325"/>
      <c r="H187" s="327"/>
      <c r="I187" s="324"/>
      <c r="J187" s="325"/>
      <c r="K187" s="327"/>
      <c r="L187" s="326"/>
      <c r="M187" s="326"/>
      <c r="N187" s="327"/>
    </row>
    <row r="188" spans="1:14" x14ac:dyDescent="0.2">
      <c r="A188" s="331" t="s">
        <v>238</v>
      </c>
      <c r="B188" s="324"/>
      <c r="C188" s="325"/>
      <c r="D188" s="325"/>
      <c r="E188" s="326"/>
      <c r="F188" s="324"/>
      <c r="G188" s="325"/>
      <c r="H188" s="327"/>
      <c r="I188" s="324"/>
      <c r="J188" s="325"/>
      <c r="K188" s="327"/>
      <c r="L188" s="326"/>
      <c r="M188" s="326"/>
      <c r="N188" s="327"/>
    </row>
    <row r="189" spans="1:14" x14ac:dyDescent="0.2">
      <c r="A189" s="329" t="s">
        <v>224</v>
      </c>
      <c r="B189" s="324"/>
      <c r="C189" s="325"/>
      <c r="D189" s="325"/>
      <c r="E189" s="326"/>
      <c r="F189" s="324"/>
      <c r="G189" s="325"/>
      <c r="H189" s="327"/>
      <c r="I189" s="324"/>
      <c r="J189" s="325"/>
      <c r="K189" s="327"/>
      <c r="L189" s="326"/>
      <c r="M189" s="326"/>
      <c r="N189" s="327"/>
    </row>
    <row r="190" spans="1:14" x14ac:dyDescent="0.2">
      <c r="A190" s="329" t="s">
        <v>225</v>
      </c>
      <c r="B190" s="324"/>
      <c r="C190" s="325"/>
      <c r="D190" s="325"/>
      <c r="E190" s="326"/>
      <c r="F190" s="324"/>
      <c r="G190" s="325"/>
      <c r="H190" s="327"/>
      <c r="I190" s="324"/>
      <c r="J190" s="325"/>
      <c r="K190" s="327"/>
      <c r="L190" s="326"/>
      <c r="M190" s="326"/>
      <c r="N190" s="327"/>
    </row>
    <row r="191" spans="1:14" x14ac:dyDescent="0.2">
      <c r="A191" s="329" t="s">
        <v>226</v>
      </c>
      <c r="B191" s="324"/>
      <c r="C191" s="325"/>
      <c r="D191" s="325"/>
      <c r="E191" s="326"/>
      <c r="F191" s="324"/>
      <c r="G191" s="325"/>
      <c r="H191" s="327"/>
      <c r="I191" s="324"/>
      <c r="J191" s="325"/>
      <c r="K191" s="327"/>
      <c r="L191" s="326"/>
      <c r="M191" s="326"/>
      <c r="N191" s="327"/>
    </row>
    <row r="192" spans="1:14" x14ac:dyDescent="0.2">
      <c r="A192" s="329"/>
      <c r="B192" s="324"/>
      <c r="C192" s="325"/>
      <c r="D192" s="325"/>
      <c r="E192" s="326"/>
      <c r="F192" s="324"/>
      <c r="G192" s="325"/>
      <c r="H192" s="327"/>
      <c r="I192" s="324"/>
      <c r="J192" s="325"/>
      <c r="K192" s="327"/>
      <c r="L192" s="326"/>
      <c r="M192" s="326"/>
      <c r="N192" s="327"/>
    </row>
    <row r="193" spans="1:14" x14ac:dyDescent="0.2">
      <c r="A193" s="331" t="s">
        <v>239</v>
      </c>
      <c r="B193" s="324"/>
      <c r="C193" s="325"/>
      <c r="D193" s="325"/>
      <c r="E193" s="326"/>
      <c r="F193" s="324"/>
      <c r="G193" s="325"/>
      <c r="H193" s="327"/>
      <c r="I193" s="324"/>
      <c r="J193" s="325"/>
      <c r="K193" s="327"/>
      <c r="L193" s="326"/>
      <c r="M193" s="326"/>
      <c r="N193" s="327"/>
    </row>
    <row r="194" spans="1:14" x14ac:dyDescent="0.2">
      <c r="A194" s="329" t="s">
        <v>227</v>
      </c>
      <c r="B194" s="324"/>
      <c r="C194" s="325"/>
      <c r="D194" s="325"/>
      <c r="E194" s="326"/>
      <c r="F194" s="324"/>
      <c r="G194" s="325"/>
      <c r="H194" s="327"/>
      <c r="I194" s="324"/>
      <c r="J194" s="325"/>
      <c r="K194" s="327"/>
      <c r="L194" s="326"/>
      <c r="M194" s="326"/>
      <c r="N194" s="327"/>
    </row>
    <row r="195" spans="1:14" x14ac:dyDescent="0.2">
      <c r="A195" s="329" t="s">
        <v>225</v>
      </c>
      <c r="B195" s="324"/>
      <c r="C195" s="325"/>
      <c r="D195" s="325"/>
      <c r="E195" s="326"/>
      <c r="F195" s="324"/>
      <c r="G195" s="325"/>
      <c r="H195" s="327"/>
      <c r="I195" s="324"/>
      <c r="J195" s="325"/>
      <c r="K195" s="327"/>
      <c r="L195" s="326"/>
      <c r="M195" s="326"/>
      <c r="N195" s="327"/>
    </row>
    <row r="196" spans="1:14" x14ac:dyDescent="0.2">
      <c r="A196" s="329"/>
      <c r="B196" s="324"/>
      <c r="C196" s="325"/>
      <c r="D196" s="325"/>
      <c r="E196" s="326"/>
      <c r="F196" s="324"/>
      <c r="G196" s="325"/>
      <c r="H196" s="327"/>
      <c r="I196" s="324"/>
      <c r="J196" s="325"/>
      <c r="K196" s="327"/>
      <c r="L196" s="326"/>
      <c r="M196" s="326"/>
      <c r="N196" s="327"/>
    </row>
    <row r="197" spans="1:14" x14ac:dyDescent="0.2">
      <c r="A197" s="331" t="s">
        <v>240</v>
      </c>
      <c r="B197" s="324"/>
      <c r="C197" s="325"/>
      <c r="D197" s="325"/>
      <c r="E197" s="326"/>
      <c r="F197" s="324"/>
      <c r="G197" s="325"/>
      <c r="H197" s="327"/>
      <c r="I197" s="324"/>
      <c r="J197" s="325"/>
      <c r="K197" s="327"/>
      <c r="L197" s="326"/>
      <c r="M197" s="326"/>
      <c r="N197" s="327"/>
    </row>
    <row r="198" spans="1:14" x14ac:dyDescent="0.2">
      <c r="A198" s="329" t="s">
        <v>228</v>
      </c>
      <c r="B198" s="324"/>
      <c r="C198" s="325"/>
      <c r="D198" s="325"/>
      <c r="E198" s="326"/>
      <c r="F198" s="324"/>
      <c r="G198" s="325"/>
      <c r="H198" s="327"/>
      <c r="I198" s="324"/>
      <c r="J198" s="325"/>
      <c r="K198" s="327"/>
      <c r="L198" s="326"/>
      <c r="M198" s="326"/>
      <c r="N198" s="327"/>
    </row>
    <row r="199" spans="1:14" x14ac:dyDescent="0.2">
      <c r="A199" s="329" t="s">
        <v>226</v>
      </c>
      <c r="B199" s="324"/>
      <c r="C199" s="325"/>
      <c r="D199" s="325"/>
      <c r="E199" s="326"/>
      <c r="F199" s="324"/>
      <c r="G199" s="325"/>
      <c r="H199" s="327"/>
      <c r="I199" s="324"/>
      <c r="J199" s="325"/>
      <c r="K199" s="327"/>
      <c r="L199" s="326"/>
      <c r="M199" s="326"/>
      <c r="N199" s="327"/>
    </row>
    <row r="200" spans="1:14" x14ac:dyDescent="0.2">
      <c r="A200" s="329" t="s">
        <v>229</v>
      </c>
      <c r="B200" s="324"/>
      <c r="C200" s="325"/>
      <c r="D200" s="325"/>
      <c r="E200" s="326"/>
      <c r="F200" s="324"/>
      <c r="G200" s="325"/>
      <c r="H200" s="327"/>
      <c r="I200" s="324"/>
      <c r="J200" s="325"/>
      <c r="K200" s="327"/>
      <c r="L200" s="326"/>
      <c r="M200" s="326"/>
      <c r="N200" s="327"/>
    </row>
    <row r="201" spans="1:14" x14ac:dyDescent="0.2">
      <c r="A201" s="329" t="s">
        <v>230</v>
      </c>
      <c r="B201" s="324"/>
      <c r="C201" s="325"/>
      <c r="D201" s="325"/>
      <c r="E201" s="326"/>
      <c r="F201" s="324"/>
      <c r="G201" s="325"/>
      <c r="H201" s="327"/>
      <c r="I201" s="324"/>
      <c r="J201" s="325"/>
      <c r="K201" s="327"/>
      <c r="L201" s="326"/>
      <c r="M201" s="326"/>
      <c r="N201" s="327"/>
    </row>
    <row r="202" spans="1:14" x14ac:dyDescent="0.2">
      <c r="A202" s="329"/>
      <c r="B202" s="324"/>
      <c r="C202" s="325"/>
      <c r="D202" s="325"/>
      <c r="E202" s="326"/>
      <c r="F202" s="324"/>
      <c r="G202" s="325"/>
      <c r="H202" s="327"/>
      <c r="I202" s="324"/>
      <c r="J202" s="325"/>
      <c r="K202" s="327"/>
      <c r="L202" s="326"/>
      <c r="M202" s="326"/>
      <c r="N202" s="327"/>
    </row>
    <row r="203" spans="1:14" x14ac:dyDescent="0.2">
      <c r="A203" s="331" t="s">
        <v>241</v>
      </c>
      <c r="B203" s="324"/>
      <c r="C203" s="325"/>
      <c r="D203" s="325"/>
      <c r="E203" s="326"/>
      <c r="F203" s="324"/>
      <c r="G203" s="325"/>
      <c r="H203" s="327"/>
      <c r="I203" s="324"/>
      <c r="J203" s="325"/>
      <c r="K203" s="327"/>
      <c r="L203" s="326"/>
      <c r="M203" s="326"/>
      <c r="N203" s="327"/>
    </row>
    <row r="204" spans="1:14" x14ac:dyDescent="0.2">
      <c r="A204" s="329" t="s">
        <v>231</v>
      </c>
      <c r="B204" s="324"/>
      <c r="C204" s="325"/>
      <c r="D204" s="325"/>
      <c r="E204" s="326"/>
      <c r="F204" s="324"/>
      <c r="G204" s="325"/>
      <c r="H204" s="327"/>
      <c r="I204" s="324"/>
      <c r="J204" s="325"/>
      <c r="K204" s="327"/>
      <c r="L204" s="326"/>
      <c r="M204" s="326"/>
      <c r="N204" s="327"/>
    </row>
    <row r="205" spans="1:14" x14ac:dyDescent="0.2">
      <c r="A205" s="329" t="s">
        <v>232</v>
      </c>
      <c r="B205" s="324"/>
      <c r="C205" s="325"/>
      <c r="D205" s="325"/>
      <c r="E205" s="326"/>
      <c r="F205" s="324"/>
      <c r="G205" s="325"/>
      <c r="H205" s="327"/>
      <c r="I205" s="324"/>
      <c r="J205" s="325"/>
      <c r="K205" s="327"/>
      <c r="L205" s="326"/>
      <c r="M205" s="326"/>
      <c r="N205" s="327"/>
    </row>
    <row r="206" spans="1:14" ht="22.5" x14ac:dyDescent="0.2">
      <c r="A206" s="329" t="s">
        <v>233</v>
      </c>
      <c r="B206" s="324"/>
      <c r="C206" s="325"/>
      <c r="D206" s="325"/>
      <c r="E206" s="326"/>
      <c r="F206" s="324"/>
      <c r="G206" s="325"/>
      <c r="H206" s="327"/>
      <c r="I206" s="324"/>
      <c r="J206" s="325"/>
      <c r="K206" s="327"/>
      <c r="L206" s="326"/>
      <c r="M206" s="326"/>
      <c r="N206" s="327"/>
    </row>
    <row r="207" spans="1:14" ht="22.5" x14ac:dyDescent="0.2">
      <c r="A207" s="329" t="s">
        <v>234</v>
      </c>
      <c r="B207" s="324"/>
      <c r="C207" s="325"/>
      <c r="D207" s="325"/>
      <c r="E207" s="326"/>
      <c r="F207" s="324"/>
      <c r="G207" s="325"/>
      <c r="H207" s="327"/>
      <c r="I207" s="324"/>
      <c r="J207" s="325"/>
      <c r="K207" s="327"/>
      <c r="L207" s="326"/>
      <c r="M207" s="326"/>
      <c r="N207" s="327"/>
    </row>
    <row r="208" spans="1:14" x14ac:dyDescent="0.2">
      <c r="A208" s="329"/>
      <c r="B208" s="324"/>
      <c r="C208" s="325"/>
      <c r="D208" s="325"/>
      <c r="E208" s="326"/>
      <c r="F208" s="324"/>
      <c r="G208" s="325"/>
      <c r="H208" s="327"/>
      <c r="I208" s="324"/>
      <c r="J208" s="325"/>
      <c r="K208" s="327"/>
      <c r="L208" s="326"/>
      <c r="M208" s="326"/>
      <c r="N208" s="327"/>
    </row>
    <row r="209" spans="1:14" x14ac:dyDescent="0.2">
      <c r="A209" s="331" t="s">
        <v>242</v>
      </c>
      <c r="B209" s="324"/>
      <c r="C209" s="325"/>
      <c r="D209" s="325"/>
      <c r="E209" s="326"/>
      <c r="F209" s="324"/>
      <c r="G209" s="325"/>
      <c r="H209" s="327"/>
      <c r="I209" s="324"/>
      <c r="J209" s="325"/>
      <c r="K209" s="327"/>
      <c r="L209" s="326"/>
      <c r="M209" s="326"/>
      <c r="N209" s="327"/>
    </row>
    <row r="210" spans="1:14" x14ac:dyDescent="0.2">
      <c r="A210" s="329" t="s">
        <v>235</v>
      </c>
      <c r="B210" s="324"/>
      <c r="C210" s="325"/>
      <c r="D210" s="325"/>
      <c r="E210" s="326"/>
      <c r="F210" s="324"/>
      <c r="G210" s="325"/>
      <c r="H210" s="327"/>
      <c r="I210" s="324"/>
      <c r="J210" s="325"/>
      <c r="K210" s="327"/>
      <c r="L210" s="326"/>
      <c r="M210" s="326"/>
      <c r="N210" s="327"/>
    </row>
    <row r="211" spans="1:14" ht="22.5" x14ac:dyDescent="0.2">
      <c r="A211" s="329" t="s">
        <v>236</v>
      </c>
      <c r="B211" s="324"/>
      <c r="C211" s="325"/>
      <c r="D211" s="325"/>
      <c r="E211" s="326"/>
      <c r="F211" s="324"/>
      <c r="G211" s="325"/>
      <c r="H211" s="327"/>
      <c r="I211" s="324"/>
      <c r="J211" s="325"/>
      <c r="K211" s="327"/>
      <c r="L211" s="326"/>
      <c r="M211" s="326"/>
      <c r="N211" s="327"/>
    </row>
    <row r="212" spans="1:14" ht="12" thickBot="1" x14ac:dyDescent="0.25">
      <c r="A212" s="332"/>
      <c r="B212" s="324"/>
      <c r="C212" s="325"/>
      <c r="D212" s="325"/>
      <c r="E212" s="326"/>
      <c r="F212" s="324"/>
      <c r="G212" s="325"/>
      <c r="H212" s="327"/>
      <c r="I212" s="324"/>
      <c r="J212" s="325"/>
      <c r="K212" s="327"/>
      <c r="L212" s="326"/>
      <c r="M212" s="326"/>
      <c r="N212" s="327"/>
    </row>
    <row r="213" spans="1:14" x14ac:dyDescent="0.2">
      <c r="A213" s="333"/>
      <c r="B213" s="345"/>
      <c r="C213" s="346"/>
      <c r="D213" s="352"/>
      <c r="E213" s="349"/>
      <c r="F213" s="345"/>
      <c r="G213" s="348"/>
      <c r="H213" s="349"/>
      <c r="I213" s="345"/>
      <c r="J213" s="346"/>
      <c r="K213" s="347"/>
      <c r="L213" s="348"/>
      <c r="M213" s="348"/>
      <c r="N213" s="349"/>
    </row>
    <row r="214" spans="1:14" ht="12" thickBot="1" x14ac:dyDescent="0.25">
      <c r="A214" s="334" t="s">
        <v>0</v>
      </c>
      <c r="B214" s="335"/>
      <c r="C214" s="336"/>
      <c r="D214" s="351"/>
      <c r="E214" s="338"/>
      <c r="F214" s="335"/>
      <c r="G214" s="337"/>
      <c r="H214" s="338"/>
      <c r="I214" s="335"/>
      <c r="J214" s="336"/>
      <c r="K214" s="344"/>
      <c r="L214" s="337"/>
      <c r="M214" s="337"/>
      <c r="N214" s="338"/>
    </row>
    <row r="215" spans="1:14" ht="12.75" thickTop="1" thickBot="1" x14ac:dyDescent="0.25">
      <c r="A215" s="339" t="s">
        <v>22</v>
      </c>
      <c r="B215" s="340"/>
      <c r="C215" s="341"/>
      <c r="D215" s="353"/>
      <c r="E215" s="343"/>
      <c r="F215" s="340"/>
      <c r="G215" s="342"/>
      <c r="H215" s="343"/>
      <c r="I215" s="340"/>
      <c r="J215" s="341"/>
      <c r="K215" s="350"/>
      <c r="L215" s="342"/>
      <c r="M215" s="342"/>
      <c r="N215" s="343"/>
    </row>
    <row r="216" spans="1:14" x14ac:dyDescent="0.2">
      <c r="A216" s="98" t="s">
        <v>412</v>
      </c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</row>
    <row r="217" spans="1:14" x14ac:dyDescent="0.2">
      <c r="A217" s="98" t="s">
        <v>413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</row>
    <row r="226" spans="1:14" x14ac:dyDescent="0.2">
      <c r="A226" s="307" t="s">
        <v>407</v>
      </c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</row>
    <row r="227" spans="1:14" x14ac:dyDescent="0.2">
      <c r="A227" s="181" t="s">
        <v>460</v>
      </c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</row>
    <row r="228" spans="1:14" ht="12" thickBot="1" x14ac:dyDescent="0.25">
      <c r="A228" s="173" t="s">
        <v>1396</v>
      </c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</row>
    <row r="229" spans="1:14" ht="12" thickBot="1" x14ac:dyDescent="0.25">
      <c r="A229" s="1450" t="s">
        <v>212</v>
      </c>
      <c r="B229" s="1448" t="s">
        <v>245</v>
      </c>
      <c r="C229" s="1449"/>
      <c r="D229" s="1449"/>
      <c r="E229" s="1449"/>
      <c r="F229" s="1445" t="s">
        <v>246</v>
      </c>
      <c r="G229" s="1446"/>
      <c r="H229" s="1447"/>
      <c r="I229" s="1445" t="s">
        <v>244</v>
      </c>
      <c r="J229" s="1446"/>
      <c r="K229" s="1446"/>
      <c r="L229" s="1446"/>
      <c r="M229" s="1446"/>
      <c r="N229" s="1447"/>
    </row>
    <row r="230" spans="1:14" ht="49.5" thickBot="1" x14ac:dyDescent="0.25">
      <c r="A230" s="1451"/>
      <c r="B230" s="309">
        <v>2019</v>
      </c>
      <c r="C230" s="310">
        <v>2020</v>
      </c>
      <c r="D230" s="310" t="s">
        <v>408</v>
      </c>
      <c r="E230" s="312" t="s">
        <v>409</v>
      </c>
      <c r="F230" s="309">
        <v>2019</v>
      </c>
      <c r="G230" s="310">
        <v>2020</v>
      </c>
      <c r="H230" s="310" t="s">
        <v>408</v>
      </c>
      <c r="I230" s="309">
        <v>2019</v>
      </c>
      <c r="J230" s="310" t="s">
        <v>400</v>
      </c>
      <c r="K230" s="310" t="s">
        <v>408</v>
      </c>
      <c r="L230" s="311" t="s">
        <v>410</v>
      </c>
      <c r="M230" s="311" t="s">
        <v>409</v>
      </c>
      <c r="N230" s="312" t="s">
        <v>411</v>
      </c>
    </row>
    <row r="231" spans="1:14" x14ac:dyDescent="0.2">
      <c r="A231" s="313"/>
      <c r="B231" s="314"/>
      <c r="C231" s="315"/>
      <c r="D231" s="315"/>
      <c r="E231" s="316"/>
      <c r="F231" s="314"/>
      <c r="G231" s="315"/>
      <c r="H231" s="317"/>
      <c r="I231" s="314"/>
      <c r="J231" s="315"/>
      <c r="K231" s="317"/>
      <c r="L231" s="316"/>
      <c r="M231" s="316"/>
      <c r="N231" s="317"/>
    </row>
    <row r="232" spans="1:14" ht="22.5" x14ac:dyDescent="0.2">
      <c r="A232" s="318" t="s">
        <v>243</v>
      </c>
      <c r="B232" s="319"/>
      <c r="C232" s="320"/>
      <c r="D232" s="320"/>
      <c r="E232" s="321"/>
      <c r="F232" s="319"/>
      <c r="G232" s="320"/>
      <c r="H232" s="322"/>
      <c r="I232" s="319"/>
      <c r="J232" s="320"/>
      <c r="K232" s="322"/>
      <c r="L232" s="321"/>
      <c r="M232" s="321"/>
      <c r="N232" s="322"/>
    </row>
    <row r="233" spans="1:14" x14ac:dyDescent="0.2">
      <c r="A233" s="323" t="s">
        <v>213</v>
      </c>
      <c r="B233" s="324"/>
      <c r="C233" s="325"/>
      <c r="D233" s="325"/>
      <c r="E233" s="326"/>
      <c r="F233" s="324"/>
      <c r="G233" s="325"/>
      <c r="H233" s="327"/>
      <c r="I233" s="324"/>
      <c r="J233" s="325"/>
      <c r="K233" s="327"/>
      <c r="L233" s="326"/>
      <c r="M233" s="326"/>
      <c r="N233" s="327"/>
    </row>
    <row r="234" spans="1:14" x14ac:dyDescent="0.2">
      <c r="A234" s="328"/>
      <c r="B234" s="324"/>
      <c r="C234" s="325"/>
      <c r="D234" s="325"/>
      <c r="E234" s="326"/>
      <c r="F234" s="324"/>
      <c r="G234" s="325"/>
      <c r="H234" s="327"/>
      <c r="I234" s="324"/>
      <c r="J234" s="325"/>
      <c r="K234" s="327"/>
      <c r="L234" s="326"/>
      <c r="M234" s="326"/>
      <c r="N234" s="327"/>
    </row>
    <row r="235" spans="1:14" x14ac:dyDescent="0.2">
      <c r="A235" s="318" t="s">
        <v>218</v>
      </c>
      <c r="B235" s="324"/>
      <c r="C235" s="325"/>
      <c r="D235" s="325"/>
      <c r="E235" s="326"/>
      <c r="F235" s="324"/>
      <c r="G235" s="325"/>
      <c r="H235" s="327"/>
      <c r="I235" s="324"/>
      <c r="J235" s="325"/>
      <c r="K235" s="327"/>
      <c r="L235" s="326"/>
      <c r="M235" s="326"/>
      <c r="N235" s="327"/>
    </row>
    <row r="236" spans="1:14" x14ac:dyDescent="0.2">
      <c r="A236" s="329" t="s">
        <v>214</v>
      </c>
      <c r="B236" s="324">
        <v>956314</v>
      </c>
      <c r="C236" s="325">
        <v>2760231</v>
      </c>
      <c r="D236" s="325">
        <f>+B236-C236</f>
        <v>-1803917</v>
      </c>
      <c r="E236" s="326">
        <v>3142760</v>
      </c>
      <c r="F236" s="324">
        <v>1064577</v>
      </c>
      <c r="G236" s="325">
        <v>2799302</v>
      </c>
      <c r="H236" s="327">
        <f>+F236-G236</f>
        <v>-1734725</v>
      </c>
      <c r="I236" s="324">
        <v>77455</v>
      </c>
      <c r="J236" s="325">
        <v>107637</v>
      </c>
      <c r="K236" s="327">
        <f>+I236-J236</f>
        <v>-30182</v>
      </c>
      <c r="L236" s="326">
        <v>106124</v>
      </c>
      <c r="M236" s="326">
        <v>127454</v>
      </c>
      <c r="N236" s="327">
        <f>+L236-M236</f>
        <v>-21330</v>
      </c>
    </row>
    <row r="237" spans="1:14" x14ac:dyDescent="0.2">
      <c r="A237" s="329" t="s">
        <v>215</v>
      </c>
      <c r="B237" s="324">
        <v>12579559</v>
      </c>
      <c r="C237" s="325">
        <v>11946437</v>
      </c>
      <c r="D237" s="325">
        <f>+B237-C237</f>
        <v>633122</v>
      </c>
      <c r="E237" s="326">
        <v>13497049</v>
      </c>
      <c r="F237" s="324">
        <v>17683881</v>
      </c>
      <c r="G237" s="325">
        <v>13966954</v>
      </c>
      <c r="H237" s="327">
        <f t="shared" ref="H237" si="1">+F237-G237</f>
        <v>3716927</v>
      </c>
      <c r="I237" s="324">
        <v>190037</v>
      </c>
      <c r="J237" s="325">
        <v>195166</v>
      </c>
      <c r="K237" s="327">
        <f>+I237-J237</f>
        <v>-5129</v>
      </c>
      <c r="L237" s="326">
        <v>194154</v>
      </c>
      <c r="M237" s="326">
        <v>201541</v>
      </c>
      <c r="N237" s="327">
        <f>+L237-M237</f>
        <v>-7387</v>
      </c>
    </row>
    <row r="238" spans="1:14" x14ac:dyDescent="0.2">
      <c r="A238" s="329" t="s">
        <v>216</v>
      </c>
      <c r="B238" s="324"/>
      <c r="C238" s="325"/>
      <c r="D238" s="325"/>
      <c r="E238" s="326"/>
      <c r="F238" s="324"/>
      <c r="G238" s="325"/>
      <c r="H238" s="327"/>
      <c r="I238" s="324"/>
      <c r="J238" s="325"/>
      <c r="K238" s="327"/>
      <c r="L238" s="326"/>
      <c r="M238" s="326"/>
      <c r="N238" s="327"/>
    </row>
    <row r="239" spans="1:14" x14ac:dyDescent="0.2">
      <c r="A239" s="329" t="s">
        <v>217</v>
      </c>
      <c r="B239" s="324"/>
      <c r="C239" s="325"/>
      <c r="D239" s="325"/>
      <c r="E239" s="326"/>
      <c r="F239" s="324"/>
      <c r="G239" s="325"/>
      <c r="H239" s="327"/>
      <c r="I239" s="324"/>
      <c r="J239" s="325"/>
      <c r="K239" s="327"/>
      <c r="L239" s="326"/>
      <c r="M239" s="326"/>
      <c r="N239" s="327"/>
    </row>
    <row r="240" spans="1:14" x14ac:dyDescent="0.2">
      <c r="A240" s="329"/>
      <c r="B240" s="319"/>
      <c r="C240" s="320"/>
      <c r="D240" s="320"/>
      <c r="E240" s="321"/>
      <c r="F240" s="319"/>
      <c r="G240" s="320"/>
      <c r="H240" s="322"/>
      <c r="I240" s="319"/>
      <c r="J240" s="320"/>
      <c r="K240" s="322"/>
      <c r="L240" s="321"/>
      <c r="M240" s="321"/>
      <c r="N240" s="322"/>
    </row>
    <row r="241" spans="1:14" x14ac:dyDescent="0.2">
      <c r="A241" s="318" t="s">
        <v>237</v>
      </c>
      <c r="B241" s="324"/>
      <c r="C241" s="325"/>
      <c r="D241" s="325"/>
      <c r="E241" s="326"/>
      <c r="F241" s="324"/>
      <c r="G241" s="325"/>
      <c r="H241" s="327"/>
      <c r="I241" s="324"/>
      <c r="J241" s="325"/>
      <c r="K241" s="327"/>
      <c r="L241" s="326"/>
      <c r="M241" s="326"/>
      <c r="N241" s="327"/>
    </row>
    <row r="242" spans="1:14" x14ac:dyDescent="0.2">
      <c r="A242" s="329" t="s">
        <v>219</v>
      </c>
      <c r="B242" s="324">
        <v>19929583</v>
      </c>
      <c r="C242" s="325">
        <v>13668720</v>
      </c>
      <c r="D242" s="325">
        <f t="shared" ref="D242" si="2">+B242-C242</f>
        <v>6260863</v>
      </c>
      <c r="E242" s="326">
        <v>13712674</v>
      </c>
      <c r="F242" s="324">
        <v>29688699</v>
      </c>
      <c r="G242" s="325">
        <v>16912786</v>
      </c>
      <c r="H242" s="327">
        <f t="shared" ref="H242" si="3">+F242-G242</f>
        <v>12775913</v>
      </c>
      <c r="I242" s="324">
        <v>75269</v>
      </c>
      <c r="J242" s="325">
        <v>112882</v>
      </c>
      <c r="K242" s="327">
        <f>+I242-J242</f>
        <v>-37613</v>
      </c>
      <c r="L242" s="326">
        <v>112885</v>
      </c>
      <c r="M242" s="326">
        <v>128641</v>
      </c>
      <c r="N242" s="327">
        <f>+L242-M242</f>
        <v>-15756</v>
      </c>
    </row>
    <row r="243" spans="1:14" x14ac:dyDescent="0.2">
      <c r="A243" s="329" t="s">
        <v>220</v>
      </c>
      <c r="B243" s="324"/>
      <c r="C243" s="325"/>
      <c r="D243" s="325"/>
      <c r="E243" s="326"/>
      <c r="F243" s="324"/>
      <c r="G243" s="325"/>
      <c r="H243" s="327"/>
      <c r="I243" s="324"/>
      <c r="J243" s="325"/>
      <c r="K243" s="327"/>
      <c r="L243" s="326"/>
      <c r="M243" s="326"/>
      <c r="N243" s="327"/>
    </row>
    <row r="244" spans="1:14" x14ac:dyDescent="0.2">
      <c r="A244" s="329" t="s">
        <v>221</v>
      </c>
      <c r="B244" s="324"/>
      <c r="C244" s="325"/>
      <c r="D244" s="325"/>
      <c r="E244" s="326"/>
      <c r="F244" s="324"/>
      <c r="G244" s="325"/>
      <c r="H244" s="327"/>
      <c r="I244" s="324"/>
      <c r="J244" s="325"/>
      <c r="K244" s="327"/>
      <c r="L244" s="326"/>
      <c r="M244" s="326"/>
      <c r="N244" s="327"/>
    </row>
    <row r="245" spans="1:14" x14ac:dyDescent="0.2">
      <c r="A245" s="329" t="s">
        <v>222</v>
      </c>
      <c r="B245" s="324"/>
      <c r="C245" s="325"/>
      <c r="D245" s="325"/>
      <c r="E245" s="326"/>
      <c r="F245" s="324"/>
      <c r="G245" s="325"/>
      <c r="H245" s="327"/>
      <c r="I245" s="324"/>
      <c r="J245" s="325"/>
      <c r="K245" s="327"/>
      <c r="L245" s="326"/>
      <c r="M245" s="326"/>
      <c r="N245" s="327"/>
    </row>
    <row r="246" spans="1:14" ht="22.5" x14ac:dyDescent="0.2">
      <c r="A246" s="329" t="s">
        <v>223</v>
      </c>
      <c r="B246" s="324"/>
      <c r="C246" s="325"/>
      <c r="D246" s="325"/>
      <c r="E246" s="326"/>
      <c r="F246" s="324"/>
      <c r="G246" s="325"/>
      <c r="H246" s="327"/>
      <c r="I246" s="324"/>
      <c r="J246" s="325"/>
      <c r="K246" s="327"/>
      <c r="L246" s="326"/>
      <c r="M246" s="326"/>
      <c r="N246" s="327"/>
    </row>
    <row r="247" spans="1:14" x14ac:dyDescent="0.2">
      <c r="A247" s="330"/>
      <c r="B247" s="324"/>
      <c r="C247" s="325"/>
      <c r="D247" s="325"/>
      <c r="E247" s="326"/>
      <c r="F247" s="324"/>
      <c r="G247" s="325"/>
      <c r="H247" s="327"/>
      <c r="I247" s="324"/>
      <c r="J247" s="325"/>
      <c r="K247" s="327"/>
      <c r="L247" s="326"/>
      <c r="M247" s="326"/>
      <c r="N247" s="327"/>
    </row>
    <row r="248" spans="1:14" x14ac:dyDescent="0.2">
      <c r="A248" s="331" t="s">
        <v>238</v>
      </c>
      <c r="B248" s="324"/>
      <c r="C248" s="325"/>
      <c r="D248" s="325"/>
      <c r="E248" s="326"/>
      <c r="F248" s="324"/>
      <c r="G248" s="325"/>
      <c r="H248" s="327"/>
      <c r="I248" s="324"/>
      <c r="J248" s="325"/>
      <c r="K248" s="327"/>
      <c r="L248" s="326"/>
      <c r="M248" s="326"/>
      <c r="N248" s="327"/>
    </row>
    <row r="249" spans="1:14" x14ac:dyDescent="0.2">
      <c r="A249" s="329" t="s">
        <v>224</v>
      </c>
      <c r="B249" s="324"/>
      <c r="C249" s="325"/>
      <c r="D249" s="325"/>
      <c r="E249" s="326"/>
      <c r="F249" s="324"/>
      <c r="G249" s="325"/>
      <c r="H249" s="327"/>
      <c r="I249" s="324"/>
      <c r="J249" s="325"/>
      <c r="K249" s="327"/>
      <c r="L249" s="326"/>
      <c r="M249" s="326"/>
      <c r="N249" s="327"/>
    </row>
    <row r="250" spans="1:14" x14ac:dyDescent="0.2">
      <c r="A250" s="329" t="s">
        <v>225</v>
      </c>
      <c r="B250" s="324"/>
      <c r="C250" s="325"/>
      <c r="D250" s="325"/>
      <c r="E250" s="326"/>
      <c r="F250" s="324"/>
      <c r="G250" s="325"/>
      <c r="H250" s="327"/>
      <c r="I250" s="324"/>
      <c r="J250" s="325"/>
      <c r="K250" s="327"/>
      <c r="L250" s="326"/>
      <c r="M250" s="326"/>
      <c r="N250" s="327"/>
    </row>
    <row r="251" spans="1:14" x14ac:dyDescent="0.2">
      <c r="A251" s="329" t="s">
        <v>226</v>
      </c>
      <c r="B251" s="324"/>
      <c r="C251" s="325"/>
      <c r="D251" s="325"/>
      <c r="E251" s="326"/>
      <c r="F251" s="324"/>
      <c r="G251" s="325"/>
      <c r="H251" s="327"/>
      <c r="I251" s="324"/>
      <c r="J251" s="325"/>
      <c r="K251" s="327"/>
      <c r="L251" s="326"/>
      <c r="M251" s="326"/>
      <c r="N251" s="327"/>
    </row>
    <row r="252" spans="1:14" x14ac:dyDescent="0.2">
      <c r="A252" s="329"/>
      <c r="B252" s="324"/>
      <c r="C252" s="325"/>
      <c r="D252" s="325"/>
      <c r="E252" s="326"/>
      <c r="F252" s="324"/>
      <c r="G252" s="325"/>
      <c r="H252" s="327"/>
      <c r="I252" s="324"/>
      <c r="J252" s="325"/>
      <c r="K252" s="327"/>
      <c r="L252" s="326"/>
      <c r="M252" s="326"/>
      <c r="N252" s="327"/>
    </row>
    <row r="253" spans="1:14" x14ac:dyDescent="0.2">
      <c r="A253" s="331" t="s">
        <v>239</v>
      </c>
      <c r="B253" s="324"/>
      <c r="C253" s="325"/>
      <c r="D253" s="325"/>
      <c r="E253" s="326"/>
      <c r="F253" s="324"/>
      <c r="G253" s="325"/>
      <c r="H253" s="327"/>
      <c r="I253" s="324"/>
      <c r="J253" s="325"/>
      <c r="K253" s="327"/>
      <c r="L253" s="326"/>
      <c r="M253" s="326"/>
      <c r="N253" s="327"/>
    </row>
    <row r="254" spans="1:14" x14ac:dyDescent="0.2">
      <c r="A254" s="329" t="s">
        <v>227</v>
      </c>
      <c r="B254" s="324"/>
      <c r="C254" s="325"/>
      <c r="D254" s="325"/>
      <c r="E254" s="326"/>
      <c r="F254" s="324"/>
      <c r="G254" s="325"/>
      <c r="H254" s="327"/>
      <c r="I254" s="324"/>
      <c r="J254" s="325"/>
      <c r="K254" s="327"/>
      <c r="L254" s="326"/>
      <c r="M254" s="326"/>
      <c r="N254" s="327"/>
    </row>
    <row r="255" spans="1:14" x14ac:dyDescent="0.2">
      <c r="A255" s="329" t="s">
        <v>225</v>
      </c>
      <c r="B255" s="324"/>
      <c r="C255" s="325"/>
      <c r="D255" s="325"/>
      <c r="E255" s="326"/>
      <c r="F255" s="324"/>
      <c r="G255" s="325"/>
      <c r="H255" s="327"/>
      <c r="I255" s="324"/>
      <c r="J255" s="325"/>
      <c r="K255" s="327"/>
      <c r="L255" s="326"/>
      <c r="M255" s="326"/>
      <c r="N255" s="327"/>
    </row>
    <row r="256" spans="1:14" x14ac:dyDescent="0.2">
      <c r="A256" s="329"/>
      <c r="B256" s="324"/>
      <c r="C256" s="325"/>
      <c r="D256" s="325"/>
      <c r="E256" s="326"/>
      <c r="F256" s="324"/>
      <c r="G256" s="325"/>
      <c r="H256" s="327"/>
      <c r="I256" s="324"/>
      <c r="J256" s="325"/>
      <c r="K256" s="327"/>
      <c r="L256" s="326"/>
      <c r="M256" s="326"/>
      <c r="N256" s="327"/>
    </row>
    <row r="257" spans="1:14" x14ac:dyDescent="0.2">
      <c r="A257" s="331" t="s">
        <v>240</v>
      </c>
      <c r="B257" s="324"/>
      <c r="C257" s="325"/>
      <c r="D257" s="325"/>
      <c r="E257" s="326"/>
      <c r="F257" s="324"/>
      <c r="G257" s="325"/>
      <c r="H257" s="327"/>
      <c r="I257" s="324"/>
      <c r="J257" s="325"/>
      <c r="K257" s="327"/>
      <c r="L257" s="326"/>
      <c r="M257" s="326"/>
      <c r="N257" s="327"/>
    </row>
    <row r="258" spans="1:14" x14ac:dyDescent="0.2">
      <c r="A258" s="329" t="s">
        <v>228</v>
      </c>
      <c r="B258" s="324"/>
      <c r="C258" s="325"/>
      <c r="D258" s="325"/>
      <c r="E258" s="326"/>
      <c r="F258" s="324"/>
      <c r="G258" s="325"/>
      <c r="H258" s="327"/>
      <c r="I258" s="324"/>
      <c r="J258" s="325"/>
      <c r="K258" s="327"/>
      <c r="L258" s="326"/>
      <c r="M258" s="326"/>
      <c r="N258" s="327"/>
    </row>
    <row r="259" spans="1:14" x14ac:dyDescent="0.2">
      <c r="A259" s="329" t="s">
        <v>226</v>
      </c>
      <c r="B259" s="324"/>
      <c r="C259" s="325"/>
      <c r="D259" s="325"/>
      <c r="E259" s="326"/>
      <c r="F259" s="324"/>
      <c r="G259" s="325"/>
      <c r="H259" s="327"/>
      <c r="I259" s="324"/>
      <c r="J259" s="325"/>
      <c r="K259" s="327"/>
      <c r="L259" s="326"/>
      <c r="M259" s="326"/>
      <c r="N259" s="327"/>
    </row>
    <row r="260" spans="1:14" x14ac:dyDescent="0.2">
      <c r="A260" s="329" t="s">
        <v>229</v>
      </c>
      <c r="B260" s="324"/>
      <c r="C260" s="325"/>
      <c r="D260" s="325"/>
      <c r="E260" s="326"/>
      <c r="F260" s="324"/>
      <c r="G260" s="325"/>
      <c r="H260" s="327"/>
      <c r="I260" s="324"/>
      <c r="J260" s="325"/>
      <c r="K260" s="327"/>
      <c r="L260" s="326"/>
      <c r="M260" s="326"/>
      <c r="N260" s="327"/>
    </row>
    <row r="261" spans="1:14" x14ac:dyDescent="0.2">
      <c r="A261" s="329" t="s">
        <v>230</v>
      </c>
      <c r="B261" s="324"/>
      <c r="C261" s="325"/>
      <c r="D261" s="325"/>
      <c r="E261" s="326"/>
      <c r="F261" s="324"/>
      <c r="G261" s="325"/>
      <c r="H261" s="327"/>
      <c r="I261" s="324"/>
      <c r="J261" s="325"/>
      <c r="K261" s="327"/>
      <c r="L261" s="326"/>
      <c r="M261" s="326"/>
      <c r="N261" s="327"/>
    </row>
    <row r="262" spans="1:14" x14ac:dyDescent="0.2">
      <c r="A262" s="329"/>
      <c r="B262" s="324"/>
      <c r="C262" s="325"/>
      <c r="D262" s="325"/>
      <c r="E262" s="326"/>
      <c r="F262" s="324"/>
      <c r="G262" s="325"/>
      <c r="H262" s="327"/>
      <c r="I262" s="324"/>
      <c r="J262" s="325"/>
      <c r="K262" s="327"/>
      <c r="L262" s="326"/>
      <c r="M262" s="326"/>
      <c r="N262" s="327"/>
    </row>
    <row r="263" spans="1:14" x14ac:dyDescent="0.2">
      <c r="A263" s="331" t="s">
        <v>241</v>
      </c>
      <c r="B263" s="324"/>
      <c r="C263" s="325"/>
      <c r="D263" s="325"/>
      <c r="E263" s="326"/>
      <c r="F263" s="324"/>
      <c r="G263" s="325"/>
      <c r="H263" s="327"/>
      <c r="I263" s="324"/>
      <c r="J263" s="325"/>
      <c r="K263" s="327"/>
      <c r="L263" s="326"/>
      <c r="M263" s="326"/>
      <c r="N263" s="327"/>
    </row>
    <row r="264" spans="1:14" x14ac:dyDescent="0.2">
      <c r="A264" s="329" t="s">
        <v>231</v>
      </c>
      <c r="B264" s="324"/>
      <c r="C264" s="325"/>
      <c r="D264" s="325"/>
      <c r="E264" s="326"/>
      <c r="F264" s="324"/>
      <c r="G264" s="325"/>
      <c r="H264" s="327"/>
      <c r="I264" s="324"/>
      <c r="J264" s="325"/>
      <c r="K264" s="327"/>
      <c r="L264" s="326"/>
      <c r="M264" s="326"/>
      <c r="N264" s="327"/>
    </row>
    <row r="265" spans="1:14" x14ac:dyDescent="0.2">
      <c r="A265" s="329" t="s">
        <v>232</v>
      </c>
      <c r="B265" s="324"/>
      <c r="C265" s="325"/>
      <c r="D265" s="325"/>
      <c r="E265" s="326"/>
      <c r="F265" s="324"/>
      <c r="G265" s="325"/>
      <c r="H265" s="327"/>
      <c r="I265" s="324"/>
      <c r="J265" s="325"/>
      <c r="K265" s="327"/>
      <c r="L265" s="326"/>
      <c r="M265" s="326"/>
      <c r="N265" s="327"/>
    </row>
    <row r="266" spans="1:14" ht="22.5" x14ac:dyDescent="0.2">
      <c r="A266" s="329" t="s">
        <v>233</v>
      </c>
      <c r="B266" s="324"/>
      <c r="C266" s="325"/>
      <c r="D266" s="325"/>
      <c r="E266" s="326"/>
      <c r="F266" s="324"/>
      <c r="G266" s="325"/>
      <c r="H266" s="327"/>
      <c r="I266" s="324"/>
      <c r="J266" s="325"/>
      <c r="K266" s="327"/>
      <c r="L266" s="326"/>
      <c r="M266" s="326"/>
      <c r="N266" s="327"/>
    </row>
    <row r="267" spans="1:14" ht="22.5" x14ac:dyDescent="0.2">
      <c r="A267" s="329" t="s">
        <v>234</v>
      </c>
      <c r="B267" s="324"/>
      <c r="C267" s="325"/>
      <c r="D267" s="325"/>
      <c r="E267" s="326"/>
      <c r="F267" s="324"/>
      <c r="G267" s="325"/>
      <c r="H267" s="327"/>
      <c r="I267" s="324"/>
      <c r="J267" s="325"/>
      <c r="K267" s="327"/>
      <c r="L267" s="326"/>
      <c r="M267" s="326"/>
      <c r="N267" s="327"/>
    </row>
    <row r="268" spans="1:14" x14ac:dyDescent="0.2">
      <c r="A268" s="329"/>
      <c r="B268" s="324"/>
      <c r="C268" s="325"/>
      <c r="D268" s="325"/>
      <c r="E268" s="326"/>
      <c r="F268" s="324"/>
      <c r="G268" s="325"/>
      <c r="H268" s="327"/>
      <c r="I268" s="324"/>
      <c r="J268" s="325"/>
      <c r="K268" s="327"/>
      <c r="L268" s="326"/>
      <c r="M268" s="326"/>
      <c r="N268" s="327"/>
    </row>
    <row r="269" spans="1:14" x14ac:dyDescent="0.2">
      <c r="A269" s="331" t="s">
        <v>242</v>
      </c>
      <c r="B269" s="324"/>
      <c r="C269" s="325"/>
      <c r="D269" s="325"/>
      <c r="E269" s="326"/>
      <c r="F269" s="324"/>
      <c r="G269" s="325"/>
      <c r="H269" s="327"/>
      <c r="I269" s="324"/>
      <c r="J269" s="325"/>
      <c r="K269" s="327"/>
      <c r="L269" s="326"/>
      <c r="M269" s="326"/>
      <c r="N269" s="327"/>
    </row>
    <row r="270" spans="1:14" x14ac:dyDescent="0.2">
      <c r="A270" s="329" t="s">
        <v>235</v>
      </c>
      <c r="B270" s="324"/>
      <c r="C270" s="325"/>
      <c r="D270" s="325"/>
      <c r="E270" s="326"/>
      <c r="F270" s="324"/>
      <c r="G270" s="325"/>
      <c r="H270" s="327"/>
      <c r="I270" s="324"/>
      <c r="J270" s="325"/>
      <c r="K270" s="327"/>
      <c r="L270" s="326"/>
      <c r="M270" s="326"/>
      <c r="N270" s="327"/>
    </row>
    <row r="271" spans="1:14" ht="22.5" x14ac:dyDescent="0.2">
      <c r="A271" s="329" t="s">
        <v>236</v>
      </c>
      <c r="B271" s="324"/>
      <c r="C271" s="325"/>
      <c r="D271" s="325"/>
      <c r="E271" s="326"/>
      <c r="F271" s="324"/>
      <c r="G271" s="325"/>
      <c r="H271" s="327"/>
      <c r="I271" s="324"/>
      <c r="J271" s="325"/>
      <c r="K271" s="327"/>
      <c r="L271" s="326"/>
      <c r="M271" s="326"/>
      <c r="N271" s="327"/>
    </row>
    <row r="272" spans="1:14" ht="12" thickBot="1" x14ac:dyDescent="0.25">
      <c r="A272" s="332"/>
      <c r="B272" s="324"/>
      <c r="C272" s="325"/>
      <c r="D272" s="325"/>
      <c r="E272" s="326"/>
      <c r="F272" s="324"/>
      <c r="G272" s="325"/>
      <c r="H272" s="327"/>
      <c r="I272" s="324"/>
      <c r="J272" s="325"/>
      <c r="K272" s="327"/>
      <c r="L272" s="326"/>
      <c r="M272" s="326"/>
      <c r="N272" s="327"/>
    </row>
    <row r="273" spans="1:14" x14ac:dyDescent="0.2">
      <c r="A273" s="333"/>
      <c r="B273" s="345"/>
      <c r="C273" s="346"/>
      <c r="D273" s="352"/>
      <c r="E273" s="349"/>
      <c r="F273" s="345"/>
      <c r="G273" s="348"/>
      <c r="H273" s="349"/>
      <c r="I273" s="345"/>
      <c r="J273" s="346"/>
      <c r="K273" s="347"/>
      <c r="L273" s="348"/>
      <c r="M273" s="348"/>
      <c r="N273" s="349"/>
    </row>
    <row r="274" spans="1:14" ht="12" thickBot="1" x14ac:dyDescent="0.25">
      <c r="A274" s="334" t="s">
        <v>0</v>
      </c>
      <c r="B274" s="335"/>
      <c r="C274" s="336"/>
      <c r="D274" s="351"/>
      <c r="E274" s="338"/>
      <c r="F274" s="335"/>
      <c r="G274" s="337"/>
      <c r="H274" s="338"/>
      <c r="I274" s="335"/>
      <c r="J274" s="336"/>
      <c r="K274" s="344"/>
      <c r="L274" s="337"/>
      <c r="M274" s="337"/>
      <c r="N274" s="338"/>
    </row>
    <row r="275" spans="1:14" ht="12.75" thickTop="1" thickBot="1" x14ac:dyDescent="0.25">
      <c r="A275" s="339" t="s">
        <v>22</v>
      </c>
      <c r="B275" s="340"/>
      <c r="C275" s="341"/>
      <c r="D275" s="353"/>
      <c r="E275" s="343"/>
      <c r="F275" s="340"/>
      <c r="G275" s="342"/>
      <c r="H275" s="343"/>
      <c r="I275" s="340"/>
      <c r="J275" s="341"/>
      <c r="K275" s="350"/>
      <c r="L275" s="342"/>
      <c r="M275" s="342"/>
      <c r="N275" s="343"/>
    </row>
    <row r="276" spans="1:14" x14ac:dyDescent="0.2">
      <c r="A276" s="98" t="s">
        <v>412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</row>
    <row r="277" spans="1:14" x14ac:dyDescent="0.2">
      <c r="A277" s="98" t="s">
        <v>413</v>
      </c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</row>
    <row r="280" spans="1:14" x14ac:dyDescent="0.2">
      <c r="A280" s="711" t="s">
        <v>407</v>
      </c>
      <c r="B280" s="712"/>
      <c r="C280" s="712"/>
      <c r="D280" s="712"/>
      <c r="E280" s="712"/>
      <c r="F280" s="712"/>
      <c r="G280" s="712"/>
      <c r="H280" s="712"/>
      <c r="I280" s="712"/>
      <c r="J280" s="712"/>
      <c r="K280" s="712"/>
      <c r="L280" s="712"/>
      <c r="M280" s="712"/>
      <c r="N280" s="712"/>
    </row>
    <row r="281" spans="1:14" s="221" customFormat="1" x14ac:dyDescent="0.2">
      <c r="A281" s="181" t="s">
        <v>460</v>
      </c>
      <c r="B281" s="712"/>
      <c r="C281" s="712"/>
      <c r="D281" s="712"/>
      <c r="E281" s="712"/>
      <c r="F281" s="712"/>
      <c r="G281" s="712"/>
      <c r="H281" s="712"/>
      <c r="I281" s="712"/>
      <c r="J281" s="712"/>
      <c r="K281" s="712"/>
      <c r="L281" s="712"/>
      <c r="M281" s="712"/>
      <c r="N281" s="712"/>
    </row>
    <row r="282" spans="1:14" ht="12" thickBot="1" x14ac:dyDescent="0.25">
      <c r="A282" s="713" t="s">
        <v>2087</v>
      </c>
      <c r="B282" s="221"/>
      <c r="C282" s="713"/>
      <c r="D282" s="713"/>
      <c r="E282" s="713"/>
      <c r="F282" s="713"/>
      <c r="G282" s="713"/>
      <c r="H282" s="713"/>
      <c r="I282" s="713"/>
      <c r="J282" s="713"/>
      <c r="K282" s="713"/>
      <c r="L282" s="713"/>
      <c r="M282" s="713"/>
      <c r="N282" s="713"/>
    </row>
    <row r="283" spans="1:14" ht="12" thickBot="1" x14ac:dyDescent="0.25">
      <c r="A283" s="1450" t="s">
        <v>212</v>
      </c>
      <c r="B283" s="1448" t="s">
        <v>245</v>
      </c>
      <c r="C283" s="1449"/>
      <c r="D283" s="1449"/>
      <c r="E283" s="1449"/>
      <c r="F283" s="1445" t="s">
        <v>246</v>
      </c>
      <c r="G283" s="1446"/>
      <c r="H283" s="1447"/>
      <c r="I283" s="1445" t="s">
        <v>244</v>
      </c>
      <c r="J283" s="1446"/>
      <c r="K283" s="1446"/>
      <c r="L283" s="1446"/>
      <c r="M283" s="1446"/>
      <c r="N283" s="1447"/>
    </row>
    <row r="284" spans="1:14" ht="49.5" thickBot="1" x14ac:dyDescent="0.25">
      <c r="A284" s="1451"/>
      <c r="B284" s="309">
        <v>2019</v>
      </c>
      <c r="C284" s="310">
        <v>2020</v>
      </c>
      <c r="D284" s="310" t="s">
        <v>408</v>
      </c>
      <c r="E284" s="312" t="s">
        <v>409</v>
      </c>
      <c r="F284" s="309">
        <v>2019</v>
      </c>
      <c r="G284" s="310">
        <v>2020</v>
      </c>
      <c r="H284" s="310" t="s">
        <v>408</v>
      </c>
      <c r="I284" s="309">
        <v>2019</v>
      </c>
      <c r="J284" s="310" t="s">
        <v>400</v>
      </c>
      <c r="K284" s="310" t="s">
        <v>408</v>
      </c>
      <c r="L284" s="311" t="s">
        <v>410</v>
      </c>
      <c r="M284" s="311" t="s">
        <v>409</v>
      </c>
      <c r="N284" s="312" t="s">
        <v>411</v>
      </c>
    </row>
    <row r="285" spans="1:14" x14ac:dyDescent="0.2">
      <c r="A285" s="313"/>
      <c r="B285" s="314"/>
      <c r="C285" s="315"/>
      <c r="D285" s="315"/>
      <c r="E285" s="316"/>
      <c r="F285" s="314"/>
      <c r="G285" s="315"/>
      <c r="H285" s="317"/>
      <c r="I285" s="314"/>
      <c r="J285" s="315"/>
      <c r="K285" s="317"/>
      <c r="L285" s="316"/>
      <c r="M285" s="316"/>
      <c r="N285" s="317"/>
    </row>
    <row r="286" spans="1:14" ht="22.5" x14ac:dyDescent="0.2">
      <c r="A286" s="714" t="s">
        <v>243</v>
      </c>
      <c r="B286" s="319"/>
      <c r="C286" s="320"/>
      <c r="D286" s="320"/>
      <c r="E286" s="321"/>
      <c r="F286" s="319"/>
      <c r="G286" s="320"/>
      <c r="H286" s="322"/>
      <c r="I286" s="319"/>
      <c r="J286" s="320"/>
      <c r="K286" s="322"/>
      <c r="L286" s="321"/>
      <c r="M286" s="321"/>
      <c r="N286" s="322"/>
    </row>
    <row r="287" spans="1:14" x14ac:dyDescent="0.2">
      <c r="A287" s="715" t="s">
        <v>213</v>
      </c>
      <c r="B287" s="324"/>
      <c r="C287" s="325"/>
      <c r="D287" s="325"/>
      <c r="E287" s="326"/>
      <c r="F287" s="324"/>
      <c r="G287" s="325"/>
      <c r="H287" s="327"/>
      <c r="I287" s="324"/>
      <c r="J287" s="325"/>
      <c r="K287" s="327"/>
      <c r="L287" s="326"/>
      <c r="M287" s="326"/>
      <c r="N287" s="327"/>
    </row>
    <row r="288" spans="1:14" x14ac:dyDescent="0.2">
      <c r="A288" s="716"/>
      <c r="B288" s="324"/>
      <c r="C288" s="325"/>
      <c r="D288" s="325"/>
      <c r="E288" s="326"/>
      <c r="F288" s="324"/>
      <c r="G288" s="325"/>
      <c r="H288" s="327"/>
      <c r="I288" s="324"/>
      <c r="J288" s="325"/>
      <c r="K288" s="327"/>
      <c r="L288" s="326"/>
      <c r="M288" s="326"/>
      <c r="N288" s="327"/>
    </row>
    <row r="289" spans="1:14" x14ac:dyDescent="0.2">
      <c r="A289" s="714" t="s">
        <v>218</v>
      </c>
      <c r="B289" s="324"/>
      <c r="C289" s="325"/>
      <c r="D289" s="325"/>
      <c r="E289" s="326"/>
      <c r="F289" s="324"/>
      <c r="G289" s="325"/>
      <c r="H289" s="327"/>
      <c r="I289" s="324"/>
      <c r="J289" s="325"/>
      <c r="K289" s="327"/>
      <c r="L289" s="326"/>
      <c r="M289" s="326"/>
      <c r="N289" s="327"/>
    </row>
    <row r="290" spans="1:14" x14ac:dyDescent="0.2">
      <c r="A290" s="717" t="s">
        <v>2086</v>
      </c>
      <c r="B290" s="324"/>
      <c r="C290" s="325"/>
      <c r="D290" s="325"/>
      <c r="E290" s="326"/>
      <c r="F290" s="324"/>
      <c r="G290" s="325"/>
      <c r="H290" s="327"/>
      <c r="I290" s="324"/>
      <c r="J290" s="325"/>
      <c r="K290" s="327"/>
      <c r="L290" s="326"/>
      <c r="M290" s="326"/>
      <c r="N290" s="327"/>
    </row>
    <row r="291" spans="1:14" ht="12.75" x14ac:dyDescent="0.2">
      <c r="A291" s="717" t="s">
        <v>215</v>
      </c>
      <c r="B291" s="625">
        <v>10479399</v>
      </c>
      <c r="C291" s="718">
        <v>6080105</v>
      </c>
      <c r="D291" s="719">
        <v>4399294</v>
      </c>
      <c r="E291" s="623">
        <v>7137442</v>
      </c>
      <c r="F291" s="625">
        <v>14313618</v>
      </c>
      <c r="G291" s="719">
        <v>8710701</v>
      </c>
      <c r="H291" s="626">
        <v>5602917</v>
      </c>
      <c r="I291" s="625">
        <v>19306</v>
      </c>
      <c r="J291" s="719">
        <v>6915</v>
      </c>
      <c r="K291" s="626">
        <v>12391</v>
      </c>
      <c r="L291" s="623">
        <v>18749</v>
      </c>
      <c r="M291" s="623">
        <v>19755</v>
      </c>
      <c r="N291" s="626">
        <v>-1006</v>
      </c>
    </row>
    <row r="292" spans="1:14" x14ac:dyDescent="0.2">
      <c r="A292" s="717" t="s">
        <v>216</v>
      </c>
      <c r="B292" s="324"/>
      <c r="C292" s="325"/>
      <c r="D292" s="325"/>
      <c r="E292" s="326"/>
      <c r="F292" s="324"/>
      <c r="G292" s="325"/>
      <c r="H292" s="327"/>
      <c r="I292" s="625"/>
      <c r="J292" s="719"/>
      <c r="K292" s="626"/>
      <c r="L292" s="623"/>
      <c r="M292" s="623"/>
      <c r="N292" s="626"/>
    </row>
    <row r="293" spans="1:14" x14ac:dyDescent="0.2">
      <c r="A293" s="717" t="s">
        <v>217</v>
      </c>
      <c r="B293" s="324"/>
      <c r="C293" s="325"/>
      <c r="D293" s="325"/>
      <c r="E293" s="326"/>
      <c r="F293" s="324"/>
      <c r="G293" s="325"/>
      <c r="H293" s="327"/>
      <c r="I293" s="625"/>
      <c r="J293" s="719"/>
      <c r="K293" s="626"/>
      <c r="L293" s="623"/>
      <c r="M293" s="623"/>
      <c r="N293" s="626"/>
    </row>
    <row r="294" spans="1:14" x14ac:dyDescent="0.2">
      <c r="A294" s="717"/>
      <c r="B294" s="319"/>
      <c r="C294" s="320"/>
      <c r="D294" s="320"/>
      <c r="E294" s="321"/>
      <c r="F294" s="319"/>
      <c r="G294" s="320"/>
      <c r="H294" s="322"/>
      <c r="I294" s="720"/>
      <c r="J294" s="721"/>
      <c r="K294" s="722"/>
      <c r="L294" s="723"/>
      <c r="M294" s="723"/>
      <c r="N294" s="722"/>
    </row>
    <row r="295" spans="1:14" x14ac:dyDescent="0.2">
      <c r="A295" s="714" t="s">
        <v>237</v>
      </c>
      <c r="B295" s="324"/>
      <c r="C295" s="325"/>
      <c r="D295" s="325"/>
      <c r="E295" s="326"/>
      <c r="F295" s="324"/>
      <c r="G295" s="325"/>
      <c r="H295" s="327"/>
      <c r="I295" s="625"/>
      <c r="J295" s="719"/>
      <c r="K295" s="626"/>
      <c r="L295" s="623"/>
      <c r="M295" s="623"/>
      <c r="N295" s="626"/>
    </row>
    <row r="296" spans="1:14" x14ac:dyDescent="0.2">
      <c r="A296" s="717" t="s">
        <v>219</v>
      </c>
      <c r="B296" s="625">
        <v>2294269</v>
      </c>
      <c r="C296" s="719">
        <v>3028871</v>
      </c>
      <c r="D296" s="719">
        <v>-734602</v>
      </c>
      <c r="E296" s="623">
        <v>2155159</v>
      </c>
      <c r="F296" s="625">
        <v>2937680</v>
      </c>
      <c r="G296" s="719">
        <v>3667794</v>
      </c>
      <c r="H296" s="626">
        <v>-730114</v>
      </c>
      <c r="I296" s="625">
        <v>14999</v>
      </c>
      <c r="J296" s="719">
        <v>3127</v>
      </c>
      <c r="K296" s="626">
        <v>11872</v>
      </c>
      <c r="L296" s="623">
        <v>16948</v>
      </c>
      <c r="M296" s="623">
        <v>14600</v>
      </c>
      <c r="N296" s="626">
        <v>2348</v>
      </c>
    </row>
    <row r="297" spans="1:14" x14ac:dyDescent="0.2">
      <c r="A297" s="717" t="s">
        <v>220</v>
      </c>
      <c r="B297" s="324"/>
      <c r="C297" s="325"/>
      <c r="D297" s="325"/>
      <c r="E297" s="326"/>
      <c r="F297" s="324"/>
      <c r="G297" s="325"/>
      <c r="H297" s="327"/>
      <c r="I297" s="324"/>
      <c r="J297" s="325"/>
      <c r="K297" s="327"/>
      <c r="L297" s="326"/>
      <c r="M297" s="326"/>
      <c r="N297" s="327"/>
    </row>
    <row r="298" spans="1:14" x14ac:dyDescent="0.2">
      <c r="A298" s="717" t="s">
        <v>221</v>
      </c>
      <c r="B298" s="324"/>
      <c r="C298" s="325"/>
      <c r="D298" s="325"/>
      <c r="E298" s="326"/>
      <c r="F298" s="324"/>
      <c r="G298" s="325"/>
      <c r="H298" s="327"/>
      <c r="I298" s="324"/>
      <c r="J298" s="325"/>
      <c r="K298" s="327"/>
      <c r="L298" s="326"/>
      <c r="M298" s="326"/>
      <c r="N298" s="327"/>
    </row>
    <row r="299" spans="1:14" x14ac:dyDescent="0.2">
      <c r="A299" s="717" t="s">
        <v>222</v>
      </c>
      <c r="B299" s="324"/>
      <c r="C299" s="325"/>
      <c r="D299" s="325"/>
      <c r="E299" s="326"/>
      <c r="F299" s="324"/>
      <c r="G299" s="325"/>
      <c r="H299" s="327"/>
      <c r="I299" s="324"/>
      <c r="J299" s="325"/>
      <c r="K299" s="327"/>
      <c r="L299" s="326"/>
      <c r="M299" s="326"/>
      <c r="N299" s="327"/>
    </row>
    <row r="300" spans="1:14" ht="22.5" x14ac:dyDescent="0.2">
      <c r="A300" s="717" t="s">
        <v>223</v>
      </c>
      <c r="B300" s="324"/>
      <c r="C300" s="325"/>
      <c r="D300" s="325"/>
      <c r="E300" s="326"/>
      <c r="F300" s="324"/>
      <c r="G300" s="325"/>
      <c r="H300" s="327"/>
      <c r="I300" s="324"/>
      <c r="J300" s="325"/>
      <c r="K300" s="327"/>
      <c r="L300" s="326"/>
      <c r="M300" s="326"/>
      <c r="N300" s="327"/>
    </row>
    <row r="301" spans="1:14" x14ac:dyDescent="0.2">
      <c r="A301" s="724"/>
      <c r="B301" s="324"/>
      <c r="C301" s="325"/>
      <c r="D301" s="325"/>
      <c r="E301" s="326"/>
      <c r="F301" s="324"/>
      <c r="G301" s="325"/>
      <c r="H301" s="327"/>
      <c r="I301" s="324"/>
      <c r="J301" s="325"/>
      <c r="K301" s="327"/>
      <c r="L301" s="326"/>
      <c r="M301" s="326"/>
      <c r="N301" s="327"/>
    </row>
    <row r="302" spans="1:14" x14ac:dyDescent="0.2">
      <c r="A302" s="725" t="s">
        <v>238</v>
      </c>
      <c r="B302" s="324"/>
      <c r="C302" s="325"/>
      <c r="D302" s="325"/>
      <c r="E302" s="326"/>
      <c r="F302" s="324"/>
      <c r="G302" s="325"/>
      <c r="H302" s="327"/>
      <c r="I302" s="324"/>
      <c r="J302" s="325"/>
      <c r="K302" s="327"/>
      <c r="L302" s="326"/>
      <c r="M302" s="326"/>
      <c r="N302" s="327"/>
    </row>
    <row r="303" spans="1:14" x14ac:dyDescent="0.2">
      <c r="A303" s="717" t="s">
        <v>224</v>
      </c>
      <c r="B303" s="324"/>
      <c r="C303" s="325"/>
      <c r="D303" s="325"/>
      <c r="E303" s="326"/>
      <c r="F303" s="324"/>
      <c r="G303" s="325"/>
      <c r="H303" s="327"/>
      <c r="I303" s="324"/>
      <c r="J303" s="325"/>
      <c r="K303" s="327"/>
      <c r="L303" s="326"/>
      <c r="M303" s="326"/>
      <c r="N303" s="327"/>
    </row>
    <row r="304" spans="1:14" x14ac:dyDescent="0.2">
      <c r="A304" s="717" t="s">
        <v>225</v>
      </c>
      <c r="B304" s="324"/>
      <c r="C304" s="325"/>
      <c r="D304" s="325"/>
      <c r="E304" s="326"/>
      <c r="F304" s="324"/>
      <c r="G304" s="325"/>
      <c r="H304" s="327"/>
      <c r="I304" s="324"/>
      <c r="J304" s="325"/>
      <c r="K304" s="327"/>
      <c r="L304" s="326"/>
      <c r="M304" s="326"/>
      <c r="N304" s="327"/>
    </row>
    <row r="305" spans="1:14" x14ac:dyDescent="0.2">
      <c r="A305" s="717" t="s">
        <v>226</v>
      </c>
      <c r="B305" s="324"/>
      <c r="C305" s="325"/>
      <c r="D305" s="325"/>
      <c r="E305" s="326"/>
      <c r="F305" s="324"/>
      <c r="G305" s="325"/>
      <c r="H305" s="327"/>
      <c r="I305" s="324"/>
      <c r="J305" s="325"/>
      <c r="K305" s="327"/>
      <c r="L305" s="326"/>
      <c r="M305" s="326"/>
      <c r="N305" s="327"/>
    </row>
    <row r="306" spans="1:14" x14ac:dyDescent="0.2">
      <c r="A306" s="717"/>
      <c r="B306" s="324"/>
      <c r="C306" s="325"/>
      <c r="D306" s="325"/>
      <c r="E306" s="326"/>
      <c r="F306" s="324"/>
      <c r="G306" s="325"/>
      <c r="H306" s="327"/>
      <c r="I306" s="324"/>
      <c r="J306" s="325"/>
      <c r="K306" s="327"/>
      <c r="L306" s="326"/>
      <c r="M306" s="326"/>
      <c r="N306" s="327"/>
    </row>
    <row r="307" spans="1:14" x14ac:dyDescent="0.2">
      <c r="A307" s="725" t="s">
        <v>239</v>
      </c>
      <c r="B307" s="324"/>
      <c r="C307" s="325"/>
      <c r="D307" s="325"/>
      <c r="E307" s="326"/>
      <c r="F307" s="324"/>
      <c r="G307" s="325"/>
      <c r="H307" s="327"/>
      <c r="I307" s="324"/>
      <c r="J307" s="325"/>
      <c r="K307" s="327"/>
      <c r="L307" s="326"/>
      <c r="M307" s="326"/>
      <c r="N307" s="327"/>
    </row>
    <row r="308" spans="1:14" x14ac:dyDescent="0.2">
      <c r="A308" s="717" t="s">
        <v>227</v>
      </c>
      <c r="B308" s="324"/>
      <c r="C308" s="325"/>
      <c r="D308" s="325"/>
      <c r="E308" s="326"/>
      <c r="F308" s="324"/>
      <c r="G308" s="325"/>
      <c r="H308" s="327"/>
      <c r="I308" s="324"/>
      <c r="J308" s="325"/>
      <c r="K308" s="327"/>
      <c r="L308" s="326"/>
      <c r="M308" s="326"/>
      <c r="N308" s="327"/>
    </row>
    <row r="309" spans="1:14" x14ac:dyDescent="0.2">
      <c r="A309" s="717" t="s">
        <v>225</v>
      </c>
      <c r="B309" s="324"/>
      <c r="C309" s="325"/>
      <c r="D309" s="325"/>
      <c r="E309" s="326"/>
      <c r="F309" s="324"/>
      <c r="G309" s="325"/>
      <c r="H309" s="327"/>
      <c r="I309" s="324"/>
      <c r="J309" s="325"/>
      <c r="K309" s="327"/>
      <c r="L309" s="326"/>
      <c r="M309" s="326"/>
      <c r="N309" s="327"/>
    </row>
    <row r="310" spans="1:14" x14ac:dyDescent="0.2">
      <c r="A310" s="717"/>
      <c r="B310" s="324"/>
      <c r="C310" s="325"/>
      <c r="D310" s="325"/>
      <c r="E310" s="326"/>
      <c r="F310" s="324"/>
      <c r="G310" s="325"/>
      <c r="H310" s="327"/>
      <c r="I310" s="324"/>
      <c r="J310" s="325"/>
      <c r="K310" s="327"/>
      <c r="L310" s="326"/>
      <c r="M310" s="326"/>
      <c r="N310" s="327"/>
    </row>
    <row r="311" spans="1:14" x14ac:dyDescent="0.2">
      <c r="A311" s="725" t="s">
        <v>240</v>
      </c>
      <c r="B311" s="324"/>
      <c r="C311" s="325"/>
      <c r="D311" s="325"/>
      <c r="E311" s="326"/>
      <c r="F311" s="324"/>
      <c r="G311" s="325"/>
      <c r="H311" s="327"/>
      <c r="I311" s="324"/>
      <c r="J311" s="325"/>
      <c r="K311" s="327"/>
      <c r="L311" s="326"/>
      <c r="M311" s="326"/>
      <c r="N311" s="327"/>
    </row>
    <row r="312" spans="1:14" x14ac:dyDescent="0.2">
      <c r="A312" s="717" t="s">
        <v>228</v>
      </c>
      <c r="B312" s="324"/>
      <c r="C312" s="325"/>
      <c r="D312" s="325"/>
      <c r="E312" s="326"/>
      <c r="F312" s="324"/>
      <c r="G312" s="325"/>
      <c r="H312" s="327"/>
      <c r="I312" s="324"/>
      <c r="J312" s="325"/>
      <c r="K312" s="327"/>
      <c r="L312" s="326"/>
      <c r="M312" s="326"/>
      <c r="N312" s="327"/>
    </row>
    <row r="313" spans="1:14" x14ac:dyDescent="0.2">
      <c r="A313" s="717" t="s">
        <v>226</v>
      </c>
      <c r="B313" s="324"/>
      <c r="C313" s="325"/>
      <c r="D313" s="325"/>
      <c r="E313" s="326"/>
      <c r="F313" s="324"/>
      <c r="G313" s="325"/>
      <c r="H313" s="327"/>
      <c r="I313" s="324"/>
      <c r="J313" s="325"/>
      <c r="K313" s="327"/>
      <c r="L313" s="326"/>
      <c r="M313" s="326"/>
      <c r="N313" s="327"/>
    </row>
    <row r="314" spans="1:14" x14ac:dyDescent="0.2">
      <c r="A314" s="717" t="s">
        <v>229</v>
      </c>
      <c r="B314" s="324"/>
      <c r="C314" s="325"/>
      <c r="D314" s="325"/>
      <c r="E314" s="326"/>
      <c r="F314" s="324"/>
      <c r="G314" s="325"/>
      <c r="H314" s="327"/>
      <c r="I314" s="324"/>
      <c r="J314" s="325"/>
      <c r="K314" s="327"/>
      <c r="L314" s="326"/>
      <c r="M314" s="326"/>
      <c r="N314" s="327"/>
    </row>
    <row r="315" spans="1:14" x14ac:dyDescent="0.2">
      <c r="A315" s="717" t="s">
        <v>230</v>
      </c>
      <c r="B315" s="324"/>
      <c r="C315" s="325"/>
      <c r="D315" s="325"/>
      <c r="E315" s="326"/>
      <c r="F315" s="324"/>
      <c r="G315" s="325"/>
      <c r="H315" s="327"/>
      <c r="I315" s="324"/>
      <c r="J315" s="325"/>
      <c r="K315" s="327"/>
      <c r="L315" s="326"/>
      <c r="M315" s="326"/>
      <c r="N315" s="327"/>
    </row>
    <row r="316" spans="1:14" x14ac:dyDescent="0.2">
      <c r="A316" s="717"/>
      <c r="B316" s="324"/>
      <c r="C316" s="325"/>
      <c r="D316" s="325"/>
      <c r="E316" s="326"/>
      <c r="F316" s="324"/>
      <c r="G316" s="325"/>
      <c r="H316" s="327"/>
      <c r="I316" s="324"/>
      <c r="J316" s="325"/>
      <c r="K316" s="327"/>
      <c r="L316" s="326"/>
      <c r="M316" s="326"/>
      <c r="N316" s="327"/>
    </row>
    <row r="317" spans="1:14" x14ac:dyDescent="0.2">
      <c r="A317" s="725" t="s">
        <v>241</v>
      </c>
      <c r="B317" s="324"/>
      <c r="C317" s="325"/>
      <c r="D317" s="325"/>
      <c r="E317" s="326"/>
      <c r="F317" s="324"/>
      <c r="G317" s="325"/>
      <c r="H317" s="327"/>
      <c r="I317" s="324"/>
      <c r="J317" s="325"/>
      <c r="K317" s="327"/>
      <c r="L317" s="326"/>
      <c r="M317" s="326"/>
      <c r="N317" s="327"/>
    </row>
    <row r="318" spans="1:14" x14ac:dyDescent="0.2">
      <c r="A318" s="717" t="s">
        <v>231</v>
      </c>
      <c r="B318" s="324"/>
      <c r="C318" s="325"/>
      <c r="D318" s="325"/>
      <c r="E318" s="326"/>
      <c r="F318" s="324"/>
      <c r="G318" s="325"/>
      <c r="H318" s="327"/>
      <c r="I318" s="324"/>
      <c r="J318" s="325"/>
      <c r="K318" s="327"/>
      <c r="L318" s="326"/>
      <c r="M318" s="326"/>
      <c r="N318" s="327"/>
    </row>
    <row r="319" spans="1:14" x14ac:dyDescent="0.2">
      <c r="A319" s="717" t="s">
        <v>232</v>
      </c>
      <c r="B319" s="324"/>
      <c r="C319" s="325"/>
      <c r="D319" s="325"/>
      <c r="E319" s="326"/>
      <c r="F319" s="324"/>
      <c r="G319" s="325"/>
      <c r="H319" s="327"/>
      <c r="I319" s="324"/>
      <c r="J319" s="325"/>
      <c r="K319" s="327"/>
      <c r="L319" s="326"/>
      <c r="M319" s="326"/>
      <c r="N319" s="327"/>
    </row>
    <row r="320" spans="1:14" ht="22.5" x14ac:dyDescent="0.2">
      <c r="A320" s="717" t="s">
        <v>233</v>
      </c>
      <c r="B320" s="324"/>
      <c r="C320" s="325"/>
      <c r="D320" s="325"/>
      <c r="E320" s="326"/>
      <c r="F320" s="324"/>
      <c r="G320" s="325"/>
      <c r="H320" s="327"/>
      <c r="I320" s="324"/>
      <c r="J320" s="325"/>
      <c r="K320" s="327"/>
      <c r="L320" s="326"/>
      <c r="M320" s="326"/>
      <c r="N320" s="327"/>
    </row>
    <row r="321" spans="1:14" ht="22.5" x14ac:dyDescent="0.2">
      <c r="A321" s="717" t="s">
        <v>234</v>
      </c>
      <c r="B321" s="324"/>
      <c r="C321" s="325"/>
      <c r="D321" s="325"/>
      <c r="E321" s="326"/>
      <c r="F321" s="324"/>
      <c r="G321" s="325"/>
      <c r="H321" s="327"/>
      <c r="I321" s="324"/>
      <c r="J321" s="325"/>
      <c r="K321" s="327"/>
      <c r="L321" s="326"/>
      <c r="M321" s="326"/>
      <c r="N321" s="327"/>
    </row>
    <row r="322" spans="1:14" x14ac:dyDescent="0.2">
      <c r="A322" s="717"/>
      <c r="B322" s="324"/>
      <c r="C322" s="325"/>
      <c r="D322" s="325"/>
      <c r="E322" s="326"/>
      <c r="F322" s="324"/>
      <c r="G322" s="325"/>
      <c r="H322" s="327"/>
      <c r="I322" s="324"/>
      <c r="J322" s="325"/>
      <c r="K322" s="327"/>
      <c r="L322" s="326"/>
      <c r="M322" s="326"/>
      <c r="N322" s="327"/>
    </row>
    <row r="323" spans="1:14" x14ac:dyDescent="0.2">
      <c r="A323" s="725" t="s">
        <v>242</v>
      </c>
      <c r="B323" s="324"/>
      <c r="C323" s="325"/>
      <c r="D323" s="325"/>
      <c r="E323" s="326"/>
      <c r="F323" s="324"/>
      <c r="G323" s="325"/>
      <c r="H323" s="327"/>
      <c r="I323" s="324"/>
      <c r="J323" s="325"/>
      <c r="K323" s="327"/>
      <c r="L323" s="326"/>
      <c r="M323" s="326"/>
      <c r="N323" s="327"/>
    </row>
    <row r="324" spans="1:14" x14ac:dyDescent="0.2">
      <c r="A324" s="717" t="s">
        <v>235</v>
      </c>
      <c r="B324" s="324"/>
      <c r="C324" s="325"/>
      <c r="D324" s="325"/>
      <c r="E324" s="326"/>
      <c r="F324" s="324"/>
      <c r="G324" s="325"/>
      <c r="H324" s="327"/>
      <c r="I324" s="324"/>
      <c r="J324" s="325"/>
      <c r="K324" s="327"/>
      <c r="L324" s="326"/>
      <c r="M324" s="326"/>
      <c r="N324" s="327"/>
    </row>
    <row r="325" spans="1:14" ht="22.5" x14ac:dyDescent="0.2">
      <c r="A325" s="717" t="s">
        <v>236</v>
      </c>
      <c r="B325" s="324"/>
      <c r="C325" s="325"/>
      <c r="D325" s="325"/>
      <c r="E325" s="326"/>
      <c r="F325" s="324"/>
      <c r="G325" s="325"/>
      <c r="H325" s="327"/>
      <c r="I325" s="324"/>
      <c r="J325" s="325"/>
      <c r="K325" s="327"/>
      <c r="L325" s="326"/>
      <c r="M325" s="326"/>
      <c r="N325" s="327"/>
    </row>
    <row r="326" spans="1:14" ht="12" thickBot="1" x14ac:dyDescent="0.25">
      <c r="A326" s="332"/>
      <c r="B326" s="324"/>
      <c r="C326" s="325"/>
      <c r="D326" s="325"/>
      <c r="E326" s="326"/>
      <c r="F326" s="324"/>
      <c r="G326" s="325"/>
      <c r="H326" s="327"/>
      <c r="I326" s="324"/>
      <c r="J326" s="325"/>
      <c r="K326" s="327"/>
      <c r="L326" s="326"/>
      <c r="M326" s="326"/>
      <c r="N326" s="327"/>
    </row>
    <row r="327" spans="1:14" x14ac:dyDescent="0.2">
      <c r="A327" s="726"/>
      <c r="B327" s="727"/>
      <c r="C327" s="728"/>
      <c r="D327" s="729"/>
      <c r="E327" s="730"/>
      <c r="F327" s="727"/>
      <c r="G327" s="731"/>
      <c r="H327" s="730"/>
      <c r="I327" s="727"/>
      <c r="J327" s="728"/>
      <c r="K327" s="732"/>
      <c r="L327" s="731"/>
      <c r="M327" s="731"/>
      <c r="N327" s="730"/>
    </row>
    <row r="328" spans="1:14" ht="12" thickBot="1" x14ac:dyDescent="0.25">
      <c r="A328" s="733" t="s">
        <v>0</v>
      </c>
      <c r="B328" s="734"/>
      <c r="C328" s="735"/>
      <c r="D328" s="736"/>
      <c r="E328" s="737"/>
      <c r="F328" s="734"/>
      <c r="G328" s="738"/>
      <c r="H328" s="737"/>
      <c r="I328" s="734"/>
      <c r="J328" s="735"/>
      <c r="K328" s="739"/>
      <c r="L328" s="738"/>
      <c r="M328" s="738"/>
      <c r="N328" s="737"/>
    </row>
    <row r="329" spans="1:14" ht="12.75" thickTop="1" thickBot="1" x14ac:dyDescent="0.25">
      <c r="A329" s="740" t="s">
        <v>22</v>
      </c>
      <c r="B329" s="741"/>
      <c r="C329" s="742"/>
      <c r="D329" s="743"/>
      <c r="E329" s="744"/>
      <c r="F329" s="741"/>
      <c r="G329" s="745"/>
      <c r="H329" s="744"/>
      <c r="I329" s="741"/>
      <c r="J329" s="742"/>
      <c r="K329" s="746"/>
      <c r="L329" s="745"/>
      <c r="M329" s="745"/>
      <c r="N329" s="744"/>
    </row>
    <row r="330" spans="1:14" x14ac:dyDescent="0.2">
      <c r="A330" s="98" t="s">
        <v>412</v>
      </c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</row>
    <row r="331" spans="1:14" x14ac:dyDescent="0.2">
      <c r="A331" s="98" t="s">
        <v>413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</row>
    <row r="332" spans="1:14" x14ac:dyDescent="0.2">
      <c r="A332" s="221"/>
      <c r="B332" s="221"/>
      <c r="C332" s="221"/>
      <c r="F332" s="221"/>
      <c r="G332" s="221"/>
      <c r="H332" s="221"/>
      <c r="I332" s="221"/>
      <c r="J332" s="221"/>
      <c r="K332" s="221"/>
      <c r="L332" s="221"/>
      <c r="M332" s="221"/>
      <c r="N332" s="221"/>
    </row>
    <row r="334" spans="1:14" x14ac:dyDescent="0.2">
      <c r="A334" s="711" t="s">
        <v>407</v>
      </c>
      <c r="B334" s="712"/>
      <c r="C334" s="712"/>
      <c r="D334" s="712"/>
      <c r="E334" s="712"/>
      <c r="F334" s="712"/>
      <c r="G334" s="712"/>
      <c r="H334" s="712"/>
      <c r="I334" s="712"/>
      <c r="J334" s="712"/>
      <c r="K334" s="712"/>
      <c r="L334" s="712"/>
      <c r="M334" s="712"/>
      <c r="N334" s="712"/>
    </row>
    <row r="335" spans="1:14" ht="12" thickBot="1" x14ac:dyDescent="0.25">
      <c r="A335" s="713" t="s">
        <v>2270</v>
      </c>
      <c r="B335" s="713"/>
      <c r="C335" s="713"/>
      <c r="D335" s="713"/>
      <c r="E335" s="713"/>
      <c r="F335" s="713"/>
      <c r="G335" s="713"/>
      <c r="H335" s="713"/>
      <c r="I335" s="713"/>
      <c r="J335" s="713"/>
      <c r="K335" s="713"/>
      <c r="L335" s="713"/>
      <c r="M335" s="713"/>
      <c r="N335" s="713"/>
    </row>
    <row r="336" spans="1:14" ht="12" thickBot="1" x14ac:dyDescent="0.25">
      <c r="A336" s="1450" t="s">
        <v>212</v>
      </c>
      <c r="B336" s="1448" t="s">
        <v>245</v>
      </c>
      <c r="C336" s="1449"/>
      <c r="D336" s="1449"/>
      <c r="E336" s="1449"/>
      <c r="F336" s="1445" t="s">
        <v>246</v>
      </c>
      <c r="G336" s="1446"/>
      <c r="H336" s="1447"/>
      <c r="I336" s="1445" t="s">
        <v>244</v>
      </c>
      <c r="J336" s="1446"/>
      <c r="K336" s="1446"/>
      <c r="L336" s="1446"/>
      <c r="M336" s="1446"/>
      <c r="N336" s="1447"/>
    </row>
    <row r="337" spans="1:14" ht="49.5" thickBot="1" x14ac:dyDescent="0.25">
      <c r="A337" s="1451"/>
      <c r="B337" s="309">
        <v>2019</v>
      </c>
      <c r="C337" s="310">
        <v>2020</v>
      </c>
      <c r="D337" s="310" t="s">
        <v>408</v>
      </c>
      <c r="E337" s="312" t="s">
        <v>409</v>
      </c>
      <c r="F337" s="309">
        <v>2019</v>
      </c>
      <c r="G337" s="310">
        <v>2020</v>
      </c>
      <c r="H337" s="310" t="s">
        <v>408</v>
      </c>
      <c r="I337" s="309">
        <v>2019</v>
      </c>
      <c r="J337" s="310" t="s">
        <v>400</v>
      </c>
      <c r="K337" s="310" t="s">
        <v>408</v>
      </c>
      <c r="L337" s="311" t="s">
        <v>410</v>
      </c>
      <c r="M337" s="311" t="s">
        <v>409</v>
      </c>
      <c r="N337" s="312" t="s">
        <v>411</v>
      </c>
    </row>
    <row r="338" spans="1:14" x14ac:dyDescent="0.2">
      <c r="A338" s="313"/>
      <c r="B338" s="314"/>
      <c r="C338" s="315"/>
      <c r="D338" s="315"/>
      <c r="E338" s="316"/>
      <c r="F338" s="314"/>
      <c r="G338" s="315"/>
      <c r="H338" s="317"/>
      <c r="I338" s="314"/>
      <c r="J338" s="315"/>
      <c r="K338" s="317"/>
      <c r="L338" s="316"/>
      <c r="M338" s="316"/>
      <c r="N338" s="317"/>
    </row>
    <row r="339" spans="1:14" ht="22.5" x14ac:dyDescent="0.2">
      <c r="A339" s="714" t="s">
        <v>243</v>
      </c>
      <c r="B339" s="319"/>
      <c r="C339" s="320"/>
      <c r="D339" s="320"/>
      <c r="E339" s="321"/>
      <c r="F339" s="319"/>
      <c r="G339" s="320"/>
      <c r="H339" s="322"/>
      <c r="I339" s="319"/>
      <c r="J339" s="320"/>
      <c r="K339" s="322"/>
      <c r="L339" s="321"/>
      <c r="M339" s="321"/>
      <c r="N339" s="322"/>
    </row>
    <row r="340" spans="1:14" x14ac:dyDescent="0.2">
      <c r="A340" s="715" t="s">
        <v>213</v>
      </c>
      <c r="B340" s="324"/>
      <c r="C340" s="325"/>
      <c r="D340" s="325"/>
      <c r="E340" s="326"/>
      <c r="F340" s="324"/>
      <c r="G340" s="325"/>
      <c r="H340" s="327"/>
      <c r="I340" s="324"/>
      <c r="J340" s="325"/>
      <c r="K340" s="327"/>
      <c r="L340" s="326"/>
      <c r="M340" s="326"/>
      <c r="N340" s="327"/>
    </row>
    <row r="341" spans="1:14" x14ac:dyDescent="0.2">
      <c r="A341" s="716"/>
      <c r="B341" s="324"/>
      <c r="C341" s="325"/>
      <c r="D341" s="325"/>
      <c r="E341" s="326"/>
      <c r="F341" s="324"/>
      <c r="G341" s="325"/>
      <c r="H341" s="327"/>
      <c r="I341" s="324"/>
      <c r="J341" s="325"/>
      <c r="K341" s="327"/>
      <c r="L341" s="326"/>
      <c r="M341" s="326"/>
      <c r="N341" s="327"/>
    </row>
    <row r="342" spans="1:14" x14ac:dyDescent="0.2">
      <c r="A342" s="714" t="s">
        <v>218</v>
      </c>
      <c r="B342" s="324"/>
      <c r="C342" s="325"/>
      <c r="D342" s="325"/>
      <c r="E342" s="326"/>
      <c r="F342" s="324"/>
      <c r="G342" s="325"/>
      <c r="H342" s="327"/>
      <c r="I342" s="324"/>
      <c r="J342" s="325"/>
      <c r="K342" s="327"/>
      <c r="L342" s="326"/>
      <c r="M342" s="326"/>
      <c r="N342" s="327"/>
    </row>
    <row r="343" spans="1:14" x14ac:dyDescent="0.2">
      <c r="A343" s="717" t="s">
        <v>214</v>
      </c>
      <c r="B343" s="324"/>
      <c r="C343" s="325"/>
      <c r="D343" s="325"/>
      <c r="E343" s="326"/>
      <c r="F343" s="324"/>
      <c r="G343" s="325"/>
      <c r="H343" s="327"/>
      <c r="I343" s="324"/>
      <c r="J343" s="325"/>
      <c r="K343" s="327"/>
      <c r="L343" s="326"/>
      <c r="M343" s="326"/>
      <c r="N343" s="327"/>
    </row>
    <row r="344" spans="1:14" x14ac:dyDescent="0.2">
      <c r="A344" s="717" t="s">
        <v>215</v>
      </c>
      <c r="B344" s="324">
        <f>+'[1]F-05'!B338</f>
        <v>0</v>
      </c>
      <c r="C344" s="325">
        <f>+'[1]F-05'!C338</f>
        <v>0</v>
      </c>
      <c r="D344" s="325">
        <f>B344-C344</f>
        <v>0</v>
      </c>
      <c r="E344" s="326">
        <f>+'[1]F-05'!D338</f>
        <v>0</v>
      </c>
      <c r="F344" s="324">
        <f>+'[1]F-05'!B354</f>
        <v>0</v>
      </c>
      <c r="G344" s="325">
        <f>+'[1]F-05'!C354</f>
        <v>0</v>
      </c>
      <c r="H344" s="327">
        <f>F344-G344</f>
        <v>0</v>
      </c>
      <c r="I344" s="324">
        <v>9094</v>
      </c>
      <c r="J344" s="325">
        <v>14030</v>
      </c>
      <c r="K344" s="327">
        <f>I344-J344</f>
        <v>-4936</v>
      </c>
      <c r="L344" s="326">
        <v>3052</v>
      </c>
      <c r="M344" s="326">
        <v>19571</v>
      </c>
      <c r="N344" s="327">
        <f>J344-M344</f>
        <v>-5541</v>
      </c>
    </row>
    <row r="345" spans="1:14" x14ac:dyDescent="0.2">
      <c r="A345" s="717" t="s">
        <v>216</v>
      </c>
      <c r="B345" s="324"/>
      <c r="C345" s="325"/>
      <c r="D345" s="325"/>
      <c r="E345" s="326"/>
      <c r="F345" s="324"/>
      <c r="G345" s="325"/>
      <c r="H345" s="327"/>
      <c r="I345" s="324"/>
      <c r="J345" s="325"/>
      <c r="K345" s="327"/>
      <c r="L345" s="326"/>
      <c r="M345" s="326"/>
      <c r="N345" s="327"/>
    </row>
    <row r="346" spans="1:14" x14ac:dyDescent="0.2">
      <c r="A346" s="717" t="s">
        <v>217</v>
      </c>
      <c r="B346" s="324"/>
      <c r="C346" s="325"/>
      <c r="D346" s="325"/>
      <c r="E346" s="326"/>
      <c r="F346" s="324"/>
      <c r="G346" s="325"/>
      <c r="H346" s="327"/>
      <c r="I346" s="324"/>
      <c r="J346" s="325"/>
      <c r="K346" s="327"/>
      <c r="L346" s="326"/>
      <c r="M346" s="326"/>
      <c r="N346" s="327"/>
    </row>
    <row r="347" spans="1:14" x14ac:dyDescent="0.2">
      <c r="A347" s="717"/>
      <c r="B347" s="319"/>
      <c r="C347" s="320"/>
      <c r="D347" s="320"/>
      <c r="E347" s="321"/>
      <c r="F347" s="319"/>
      <c r="G347" s="320"/>
      <c r="H347" s="322"/>
      <c r="I347" s="319"/>
      <c r="J347" s="320"/>
      <c r="K347" s="322"/>
      <c r="L347" s="321"/>
      <c r="M347" s="321"/>
      <c r="N347" s="322"/>
    </row>
    <row r="348" spans="1:14" x14ac:dyDescent="0.2">
      <c r="A348" s="714" t="s">
        <v>237</v>
      </c>
      <c r="B348" s="324"/>
      <c r="C348" s="325"/>
      <c r="D348" s="325"/>
      <c r="E348" s="326"/>
      <c r="F348" s="324"/>
      <c r="G348" s="325"/>
      <c r="H348" s="327"/>
      <c r="I348" s="324"/>
      <c r="J348" s="325"/>
      <c r="K348" s="327"/>
      <c r="L348" s="326"/>
      <c r="M348" s="326"/>
      <c r="N348" s="327"/>
    </row>
    <row r="349" spans="1:14" x14ac:dyDescent="0.2">
      <c r="A349" s="717" t="s">
        <v>219</v>
      </c>
      <c r="B349" s="324">
        <f>+'[1]F-05'!B337</f>
        <v>0</v>
      </c>
      <c r="C349" s="325">
        <f>+'[1]F-05'!C337</f>
        <v>0</v>
      </c>
      <c r="D349" s="325">
        <f>B349-C349</f>
        <v>0</v>
      </c>
      <c r="E349" s="326">
        <f>+'[1]F-05'!D337</f>
        <v>0</v>
      </c>
      <c r="F349" s="324">
        <f>+'[1]F-05'!B353</f>
        <v>0</v>
      </c>
      <c r="G349" s="325">
        <f>+'[1]F-05'!C353</f>
        <v>0</v>
      </c>
      <c r="H349" s="327">
        <f>F349-G349</f>
        <v>0</v>
      </c>
      <c r="I349" s="324">
        <v>20299</v>
      </c>
      <c r="J349" s="325">
        <v>19216</v>
      </c>
      <c r="K349" s="327">
        <f>I349-J349</f>
        <v>1083</v>
      </c>
      <c r="L349" s="326">
        <v>10474</v>
      </c>
      <c r="M349" s="326">
        <v>16150</v>
      </c>
      <c r="N349" s="327">
        <f>J349-M349</f>
        <v>3066</v>
      </c>
    </row>
    <row r="350" spans="1:14" x14ac:dyDescent="0.2">
      <c r="A350" s="717" t="s">
        <v>220</v>
      </c>
      <c r="B350" s="324"/>
      <c r="C350" s="325"/>
      <c r="D350" s="325"/>
      <c r="E350" s="326"/>
      <c r="F350" s="324"/>
      <c r="G350" s="325"/>
      <c r="H350" s="327"/>
      <c r="I350" s="324"/>
      <c r="J350" s="325"/>
      <c r="K350" s="327"/>
      <c r="L350" s="326"/>
      <c r="M350" s="326"/>
      <c r="N350" s="327"/>
    </row>
    <row r="351" spans="1:14" x14ac:dyDescent="0.2">
      <c r="A351" s="717" t="s">
        <v>221</v>
      </c>
      <c r="B351" s="324"/>
      <c r="C351" s="325"/>
      <c r="D351" s="325"/>
      <c r="E351" s="326"/>
      <c r="F351" s="324"/>
      <c r="G351" s="325"/>
      <c r="H351" s="327"/>
      <c r="I351" s="324"/>
      <c r="J351" s="325"/>
      <c r="K351" s="327"/>
      <c r="L351" s="326"/>
      <c r="M351" s="326"/>
      <c r="N351" s="327"/>
    </row>
    <row r="352" spans="1:14" x14ac:dyDescent="0.2">
      <c r="A352" s="717" t="s">
        <v>222</v>
      </c>
      <c r="B352" s="324"/>
      <c r="C352" s="325"/>
      <c r="D352" s="325"/>
      <c r="E352" s="326"/>
      <c r="F352" s="324"/>
      <c r="G352" s="325"/>
      <c r="H352" s="327"/>
      <c r="I352" s="324"/>
      <c r="J352" s="325"/>
      <c r="K352" s="327"/>
      <c r="L352" s="326"/>
      <c r="M352" s="326"/>
      <c r="N352" s="327"/>
    </row>
    <row r="353" spans="1:14" ht="22.5" x14ac:dyDescent="0.2">
      <c r="A353" s="717" t="s">
        <v>223</v>
      </c>
      <c r="B353" s="324"/>
      <c r="C353" s="325"/>
      <c r="D353" s="325"/>
      <c r="E353" s="326"/>
      <c r="F353" s="324"/>
      <c r="G353" s="325"/>
      <c r="H353" s="327"/>
      <c r="I353" s="324"/>
      <c r="J353" s="325"/>
      <c r="K353" s="327"/>
      <c r="L353" s="326"/>
      <c r="M353" s="326"/>
      <c r="N353" s="327"/>
    </row>
    <row r="354" spans="1:14" x14ac:dyDescent="0.2">
      <c r="A354" s="724"/>
      <c r="B354" s="324"/>
      <c r="C354" s="325"/>
      <c r="D354" s="325"/>
      <c r="E354" s="326"/>
      <c r="F354" s="324"/>
      <c r="G354" s="325"/>
      <c r="H354" s="327"/>
      <c r="I354" s="324"/>
      <c r="J354" s="325"/>
      <c r="K354" s="327"/>
      <c r="L354" s="326"/>
      <c r="M354" s="326"/>
      <c r="N354" s="327"/>
    </row>
    <row r="355" spans="1:14" x14ac:dyDescent="0.2">
      <c r="A355" s="725" t="s">
        <v>238</v>
      </c>
      <c r="B355" s="324"/>
      <c r="C355" s="325"/>
      <c r="D355" s="325"/>
      <c r="E355" s="326"/>
      <c r="F355" s="324"/>
      <c r="G355" s="325"/>
      <c r="H355" s="327"/>
      <c r="I355" s="324"/>
      <c r="J355" s="325"/>
      <c r="K355" s="327"/>
      <c r="L355" s="326"/>
      <c r="M355" s="326"/>
      <c r="N355" s="327"/>
    </row>
    <row r="356" spans="1:14" x14ac:dyDescent="0.2">
      <c r="A356" s="717" t="s">
        <v>224</v>
      </c>
      <c r="B356" s="324"/>
      <c r="C356" s="325"/>
      <c r="D356" s="325"/>
      <c r="E356" s="326"/>
      <c r="F356" s="324"/>
      <c r="G356" s="325"/>
      <c r="H356" s="327"/>
      <c r="I356" s="324"/>
      <c r="J356" s="325"/>
      <c r="K356" s="327"/>
      <c r="L356" s="326"/>
      <c r="M356" s="326"/>
      <c r="N356" s="327"/>
    </row>
    <row r="357" spans="1:14" x14ac:dyDescent="0.2">
      <c r="A357" s="717" t="s">
        <v>225</v>
      </c>
      <c r="B357" s="324"/>
      <c r="C357" s="325"/>
      <c r="D357" s="325"/>
      <c r="E357" s="326"/>
      <c r="F357" s="324"/>
      <c r="G357" s="325"/>
      <c r="H357" s="327"/>
      <c r="I357" s="324"/>
      <c r="J357" s="325"/>
      <c r="K357" s="327"/>
      <c r="L357" s="326"/>
      <c r="M357" s="326"/>
      <c r="N357" s="327"/>
    </row>
    <row r="358" spans="1:14" x14ac:dyDescent="0.2">
      <c r="A358" s="717" t="s">
        <v>226</v>
      </c>
      <c r="B358" s="324"/>
      <c r="C358" s="325"/>
      <c r="D358" s="325"/>
      <c r="E358" s="326"/>
      <c r="F358" s="324"/>
      <c r="G358" s="325"/>
      <c r="H358" s="327"/>
      <c r="I358" s="324"/>
      <c r="J358" s="325"/>
      <c r="K358" s="327"/>
      <c r="L358" s="326"/>
      <c r="M358" s="326"/>
      <c r="N358" s="327"/>
    </row>
    <row r="359" spans="1:14" x14ac:dyDescent="0.2">
      <c r="A359" s="717"/>
      <c r="B359" s="324"/>
      <c r="C359" s="325"/>
      <c r="D359" s="325"/>
      <c r="E359" s="326"/>
      <c r="F359" s="324"/>
      <c r="G359" s="325"/>
      <c r="H359" s="327"/>
      <c r="I359" s="324"/>
      <c r="J359" s="325"/>
      <c r="K359" s="327"/>
      <c r="L359" s="326"/>
      <c r="M359" s="326"/>
      <c r="N359" s="327"/>
    </row>
    <row r="360" spans="1:14" x14ac:dyDescent="0.2">
      <c r="A360" s="725" t="s">
        <v>239</v>
      </c>
      <c r="B360" s="324"/>
      <c r="C360" s="325"/>
      <c r="D360" s="325"/>
      <c r="E360" s="326"/>
      <c r="F360" s="324"/>
      <c r="G360" s="325"/>
      <c r="H360" s="327"/>
      <c r="I360" s="324"/>
      <c r="J360" s="325"/>
      <c r="K360" s="327"/>
      <c r="L360" s="326"/>
      <c r="M360" s="326"/>
      <c r="N360" s="327"/>
    </row>
    <row r="361" spans="1:14" x14ac:dyDescent="0.2">
      <c r="A361" s="717" t="s">
        <v>227</v>
      </c>
      <c r="B361" s="324"/>
      <c r="C361" s="325"/>
      <c r="D361" s="325"/>
      <c r="E361" s="326"/>
      <c r="F361" s="324"/>
      <c r="G361" s="325"/>
      <c r="H361" s="327"/>
      <c r="I361" s="324"/>
      <c r="J361" s="325"/>
      <c r="K361" s="327"/>
      <c r="L361" s="326"/>
      <c r="M361" s="326"/>
      <c r="N361" s="327"/>
    </row>
    <row r="362" spans="1:14" x14ac:dyDescent="0.2">
      <c r="A362" s="717" t="s">
        <v>225</v>
      </c>
      <c r="B362" s="324"/>
      <c r="C362" s="325"/>
      <c r="D362" s="325"/>
      <c r="E362" s="326"/>
      <c r="F362" s="324"/>
      <c r="G362" s="325"/>
      <c r="H362" s="327"/>
      <c r="I362" s="324"/>
      <c r="J362" s="325"/>
      <c r="K362" s="327"/>
      <c r="L362" s="326"/>
      <c r="M362" s="326"/>
      <c r="N362" s="327"/>
    </row>
    <row r="363" spans="1:14" x14ac:dyDescent="0.2">
      <c r="A363" s="717"/>
      <c r="B363" s="324"/>
      <c r="C363" s="325"/>
      <c r="D363" s="325"/>
      <c r="E363" s="326"/>
      <c r="F363" s="324"/>
      <c r="G363" s="325"/>
      <c r="H363" s="327"/>
      <c r="I363" s="324"/>
      <c r="J363" s="325"/>
      <c r="K363" s="327"/>
      <c r="L363" s="326"/>
      <c r="M363" s="326"/>
      <c r="N363" s="327"/>
    </row>
    <row r="364" spans="1:14" x14ac:dyDescent="0.2">
      <c r="A364" s="725" t="s">
        <v>240</v>
      </c>
      <c r="B364" s="324"/>
      <c r="C364" s="325"/>
      <c r="D364" s="325"/>
      <c r="E364" s="326"/>
      <c r="F364" s="324"/>
      <c r="G364" s="325"/>
      <c r="H364" s="327"/>
      <c r="I364" s="324"/>
      <c r="J364" s="325"/>
      <c r="K364" s="327"/>
      <c r="L364" s="326"/>
      <c r="M364" s="326"/>
      <c r="N364" s="327"/>
    </row>
    <row r="365" spans="1:14" x14ac:dyDescent="0.2">
      <c r="A365" s="717" t="s">
        <v>228</v>
      </c>
      <c r="B365" s="324"/>
      <c r="C365" s="325"/>
      <c r="D365" s="325"/>
      <c r="E365" s="326"/>
      <c r="F365" s="324"/>
      <c r="G365" s="325"/>
      <c r="H365" s="327"/>
      <c r="I365" s="324"/>
      <c r="J365" s="325"/>
      <c r="K365" s="327"/>
      <c r="L365" s="326"/>
      <c r="M365" s="326"/>
      <c r="N365" s="327"/>
    </row>
    <row r="366" spans="1:14" x14ac:dyDescent="0.2">
      <c r="A366" s="717" t="s">
        <v>226</v>
      </c>
      <c r="B366" s="324"/>
      <c r="C366" s="325"/>
      <c r="D366" s="325"/>
      <c r="E366" s="326"/>
      <c r="F366" s="324"/>
      <c r="G366" s="325"/>
      <c r="H366" s="327"/>
      <c r="I366" s="324"/>
      <c r="J366" s="325"/>
      <c r="K366" s="327"/>
      <c r="L366" s="326"/>
      <c r="M366" s="326"/>
      <c r="N366" s="327"/>
    </row>
    <row r="367" spans="1:14" x14ac:dyDescent="0.2">
      <c r="A367" s="717" t="s">
        <v>229</v>
      </c>
      <c r="B367" s="324"/>
      <c r="C367" s="325"/>
      <c r="D367" s="325"/>
      <c r="E367" s="326"/>
      <c r="F367" s="324"/>
      <c r="G367" s="325"/>
      <c r="H367" s="327"/>
      <c r="I367" s="324"/>
      <c r="J367" s="325"/>
      <c r="K367" s="327"/>
      <c r="L367" s="326"/>
      <c r="M367" s="326"/>
      <c r="N367" s="327"/>
    </row>
    <row r="368" spans="1:14" x14ac:dyDescent="0.2">
      <c r="A368" s="717" t="s">
        <v>230</v>
      </c>
      <c r="B368" s="324"/>
      <c r="C368" s="325"/>
      <c r="D368" s="325"/>
      <c r="E368" s="326"/>
      <c r="F368" s="324"/>
      <c r="G368" s="325"/>
      <c r="H368" s="327"/>
      <c r="I368" s="324"/>
      <c r="J368" s="325"/>
      <c r="K368" s="327"/>
      <c r="L368" s="326"/>
      <c r="M368" s="326"/>
      <c r="N368" s="327"/>
    </row>
    <row r="369" spans="1:14" x14ac:dyDescent="0.2">
      <c r="A369" s="717"/>
      <c r="B369" s="324"/>
      <c r="C369" s="325"/>
      <c r="D369" s="325"/>
      <c r="E369" s="326"/>
      <c r="F369" s="324"/>
      <c r="G369" s="325"/>
      <c r="H369" s="327"/>
      <c r="I369" s="324"/>
      <c r="J369" s="325"/>
      <c r="K369" s="327"/>
      <c r="L369" s="326"/>
      <c r="M369" s="326"/>
      <c r="N369" s="327"/>
    </row>
    <row r="370" spans="1:14" x14ac:dyDescent="0.2">
      <c r="A370" s="725" t="s">
        <v>241</v>
      </c>
      <c r="B370" s="324"/>
      <c r="C370" s="325"/>
      <c r="D370" s="325"/>
      <c r="E370" s="326"/>
      <c r="F370" s="324"/>
      <c r="G370" s="325"/>
      <c r="H370" s="327"/>
      <c r="I370" s="324"/>
      <c r="J370" s="325"/>
      <c r="K370" s="327"/>
      <c r="L370" s="326"/>
      <c r="M370" s="326"/>
      <c r="N370" s="327"/>
    </row>
    <row r="371" spans="1:14" x14ac:dyDescent="0.2">
      <c r="A371" s="717" t="s">
        <v>231</v>
      </c>
      <c r="B371" s="324"/>
      <c r="C371" s="325"/>
      <c r="D371" s="325"/>
      <c r="E371" s="326"/>
      <c r="F371" s="324"/>
      <c r="G371" s="325"/>
      <c r="H371" s="327"/>
      <c r="I371" s="324"/>
      <c r="J371" s="325"/>
      <c r="K371" s="327"/>
      <c r="L371" s="326"/>
      <c r="M371" s="326"/>
      <c r="N371" s="327"/>
    </row>
    <row r="372" spans="1:14" x14ac:dyDescent="0.2">
      <c r="A372" s="717" t="s">
        <v>232</v>
      </c>
      <c r="B372" s="324"/>
      <c r="C372" s="325"/>
      <c r="D372" s="325"/>
      <c r="E372" s="326"/>
      <c r="F372" s="324"/>
      <c r="G372" s="325"/>
      <c r="H372" s="327"/>
      <c r="I372" s="324"/>
      <c r="J372" s="325"/>
      <c r="K372" s="327"/>
      <c r="L372" s="326"/>
      <c r="M372" s="326"/>
      <c r="N372" s="327"/>
    </row>
    <row r="373" spans="1:14" ht="22.5" x14ac:dyDescent="0.2">
      <c r="A373" s="717" t="s">
        <v>233</v>
      </c>
      <c r="B373" s="324"/>
      <c r="C373" s="325"/>
      <c r="D373" s="325"/>
      <c r="E373" s="326"/>
      <c r="F373" s="324"/>
      <c r="G373" s="325"/>
      <c r="H373" s="327"/>
      <c r="I373" s="324"/>
      <c r="J373" s="325"/>
      <c r="K373" s="327"/>
      <c r="L373" s="326"/>
      <c r="M373" s="326"/>
      <c r="N373" s="327"/>
    </row>
    <row r="374" spans="1:14" ht="22.5" x14ac:dyDescent="0.2">
      <c r="A374" s="717" t="s">
        <v>234</v>
      </c>
      <c r="B374" s="324"/>
      <c r="C374" s="325"/>
      <c r="D374" s="325"/>
      <c r="E374" s="326"/>
      <c r="F374" s="324"/>
      <c r="G374" s="325"/>
      <c r="H374" s="327"/>
      <c r="I374" s="324"/>
      <c r="J374" s="325"/>
      <c r="K374" s="327"/>
      <c r="L374" s="326"/>
      <c r="M374" s="326"/>
      <c r="N374" s="327"/>
    </row>
    <row r="375" spans="1:14" x14ac:dyDescent="0.2">
      <c r="A375" s="717"/>
      <c r="B375" s="324"/>
      <c r="C375" s="325"/>
      <c r="D375" s="325"/>
      <c r="E375" s="326"/>
      <c r="F375" s="324"/>
      <c r="G375" s="325"/>
      <c r="H375" s="327"/>
      <c r="I375" s="324"/>
      <c r="J375" s="325"/>
      <c r="K375" s="327"/>
      <c r="L375" s="326"/>
      <c r="M375" s="326"/>
      <c r="N375" s="327"/>
    </row>
    <row r="376" spans="1:14" x14ac:dyDescent="0.2">
      <c r="A376" s="725" t="s">
        <v>242</v>
      </c>
      <c r="B376" s="324"/>
      <c r="C376" s="325"/>
      <c r="D376" s="325"/>
      <c r="E376" s="326"/>
      <c r="F376" s="324"/>
      <c r="G376" s="325"/>
      <c r="H376" s="327"/>
      <c r="I376" s="324"/>
      <c r="J376" s="325"/>
      <c r="K376" s="327"/>
      <c r="L376" s="326"/>
      <c r="M376" s="326"/>
      <c r="N376" s="327"/>
    </row>
    <row r="377" spans="1:14" x14ac:dyDescent="0.2">
      <c r="A377" s="717" t="s">
        <v>235</v>
      </c>
      <c r="B377" s="324"/>
      <c r="C377" s="325"/>
      <c r="D377" s="325"/>
      <c r="E377" s="326"/>
      <c r="F377" s="324"/>
      <c r="G377" s="325"/>
      <c r="H377" s="327"/>
      <c r="I377" s="324"/>
      <c r="J377" s="325"/>
      <c r="K377" s="327"/>
      <c r="L377" s="326"/>
      <c r="M377" s="326"/>
      <c r="N377" s="327"/>
    </row>
    <row r="378" spans="1:14" ht="22.5" x14ac:dyDescent="0.2">
      <c r="A378" s="717" t="s">
        <v>236</v>
      </c>
      <c r="B378" s="324"/>
      <c r="C378" s="325"/>
      <c r="D378" s="325"/>
      <c r="E378" s="326"/>
      <c r="F378" s="324"/>
      <c r="G378" s="325"/>
      <c r="H378" s="327"/>
      <c r="I378" s="324"/>
      <c r="J378" s="325"/>
      <c r="K378" s="327"/>
      <c r="L378" s="326"/>
      <c r="M378" s="326"/>
      <c r="N378" s="327"/>
    </row>
    <row r="379" spans="1:14" ht="12" thickBot="1" x14ac:dyDescent="0.25">
      <c r="A379" s="332"/>
      <c r="B379" s="324"/>
      <c r="C379" s="325"/>
      <c r="D379" s="325"/>
      <c r="E379" s="326"/>
      <c r="F379" s="324"/>
      <c r="G379" s="325"/>
      <c r="H379" s="327"/>
      <c r="I379" s="324"/>
      <c r="J379" s="325"/>
      <c r="K379" s="327"/>
      <c r="L379" s="326"/>
      <c r="M379" s="326"/>
      <c r="N379" s="327"/>
    </row>
    <row r="380" spans="1:14" x14ac:dyDescent="0.2">
      <c r="A380" s="726"/>
      <c r="B380" s="727"/>
      <c r="C380" s="728"/>
      <c r="D380" s="729"/>
      <c r="E380" s="730"/>
      <c r="F380" s="727"/>
      <c r="G380" s="731"/>
      <c r="H380" s="730"/>
      <c r="I380" s="727"/>
      <c r="J380" s="728"/>
      <c r="K380" s="732"/>
      <c r="L380" s="731"/>
      <c r="M380" s="731"/>
      <c r="N380" s="730"/>
    </row>
    <row r="381" spans="1:14" ht="12" thickBot="1" x14ac:dyDescent="0.25">
      <c r="A381" s="733" t="s">
        <v>0</v>
      </c>
      <c r="B381" s="734">
        <f t="shared" ref="B381:N381" si="4">SUM(B344+B349)</f>
        <v>0</v>
      </c>
      <c r="C381" s="735">
        <f t="shared" si="4"/>
        <v>0</v>
      </c>
      <c r="D381" s="736">
        <f t="shared" si="4"/>
        <v>0</v>
      </c>
      <c r="E381" s="737">
        <f t="shared" si="4"/>
        <v>0</v>
      </c>
      <c r="F381" s="734">
        <f t="shared" si="4"/>
        <v>0</v>
      </c>
      <c r="G381" s="738">
        <f t="shared" si="4"/>
        <v>0</v>
      </c>
      <c r="H381" s="737">
        <f t="shared" si="4"/>
        <v>0</v>
      </c>
      <c r="I381" s="734">
        <f t="shared" si="4"/>
        <v>29393</v>
      </c>
      <c r="J381" s="735">
        <f t="shared" si="4"/>
        <v>33246</v>
      </c>
      <c r="K381" s="739">
        <f t="shared" si="4"/>
        <v>-3853</v>
      </c>
      <c r="L381" s="738">
        <f t="shared" si="4"/>
        <v>13526</v>
      </c>
      <c r="M381" s="738">
        <f t="shared" si="4"/>
        <v>35721</v>
      </c>
      <c r="N381" s="737">
        <f t="shared" si="4"/>
        <v>-2475</v>
      </c>
    </row>
    <row r="382" spans="1:14" ht="12.75" thickTop="1" thickBot="1" x14ac:dyDescent="0.25">
      <c r="A382" s="740" t="s">
        <v>22</v>
      </c>
      <c r="B382" s="741"/>
      <c r="C382" s="742"/>
      <c r="D382" s="743"/>
      <c r="E382" s="744"/>
      <c r="F382" s="741"/>
      <c r="G382" s="745"/>
      <c r="H382" s="744"/>
      <c r="I382" s="741"/>
      <c r="J382" s="742"/>
      <c r="K382" s="746"/>
      <c r="L382" s="745"/>
      <c r="M382" s="745"/>
      <c r="N382" s="744"/>
    </row>
    <row r="383" spans="1:14" x14ac:dyDescent="0.2">
      <c r="A383" s="98" t="s">
        <v>412</v>
      </c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</row>
    <row r="384" spans="1:14" x14ac:dyDescent="0.2">
      <c r="A384" s="98" t="s">
        <v>413</v>
      </c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</row>
  </sheetData>
  <mergeCells count="28">
    <mergeCell ref="A336:A337"/>
    <mergeCell ref="B336:E336"/>
    <mergeCell ref="F336:H336"/>
    <mergeCell ref="I336:N336"/>
    <mergeCell ref="A229:A230"/>
    <mergeCell ref="B229:E229"/>
    <mergeCell ref="F229:H229"/>
    <mergeCell ref="I229:N229"/>
    <mergeCell ref="A283:A284"/>
    <mergeCell ref="B283:E283"/>
    <mergeCell ref="F283:H283"/>
    <mergeCell ref="I283:N283"/>
    <mergeCell ref="A115:A116"/>
    <mergeCell ref="B115:E115"/>
    <mergeCell ref="F115:H115"/>
    <mergeCell ref="I115:N115"/>
    <mergeCell ref="A169:A170"/>
    <mergeCell ref="B169:E169"/>
    <mergeCell ref="F169:H169"/>
    <mergeCell ref="I169:N169"/>
    <mergeCell ref="I4:N4"/>
    <mergeCell ref="B4:E4"/>
    <mergeCell ref="F4:H4"/>
    <mergeCell ref="A4:A5"/>
    <mergeCell ref="A58:A59"/>
    <mergeCell ref="B58:E58"/>
    <mergeCell ref="F58:H58"/>
    <mergeCell ref="I58:N5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&amp;C&amp;"Arial,Negrita"&amp;18PROYECTO DE PRESUPUESTO 2021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tabColor theme="4"/>
  </sheetPr>
  <dimension ref="A1:V25"/>
  <sheetViews>
    <sheetView view="pageLayout" zoomScaleNormal="100" zoomScaleSheetLayoutView="90" workbookViewId="0">
      <selection activeCell="A2" sqref="A2"/>
    </sheetView>
  </sheetViews>
  <sheetFormatPr baseColWidth="10" defaultColWidth="11.28515625" defaultRowHeight="11.25" x14ac:dyDescent="0.2"/>
  <cols>
    <col min="1" max="1" width="25.5703125" style="183" customWidth="1"/>
    <col min="2" max="2" width="4.28515625" style="183" customWidth="1"/>
    <col min="3" max="4" width="9.7109375" style="183" customWidth="1"/>
    <col min="5" max="5" width="11.7109375" style="183" customWidth="1"/>
    <col min="6" max="6" width="4.28515625" style="183" customWidth="1"/>
    <col min="7" max="7" width="9.140625" style="183" customWidth="1"/>
    <col min="8" max="8" width="9.85546875" style="183" customWidth="1"/>
    <col min="9" max="9" width="4.140625" style="183" customWidth="1"/>
    <col min="10" max="10" width="3" style="183" customWidth="1"/>
    <col min="11" max="11" width="10.42578125" style="183" customWidth="1"/>
    <col min="12" max="12" width="4.140625" style="183" customWidth="1"/>
    <col min="13" max="13" width="9.28515625" style="183" customWidth="1"/>
    <col min="14" max="14" width="8.5703125" style="183" customWidth="1"/>
    <col min="15" max="15" width="8.7109375" style="183" customWidth="1"/>
    <col min="16" max="16" width="10.5703125" style="183" customWidth="1"/>
    <col min="17" max="17" width="7" style="183" customWidth="1"/>
    <col min="18" max="16384" width="11.28515625" style="183"/>
  </cols>
  <sheetData>
    <row r="1" spans="1:22" s="182" customFormat="1" x14ac:dyDescent="0.2">
      <c r="A1" s="180" t="s">
        <v>414</v>
      </c>
      <c r="B1" s="186"/>
      <c r="C1" s="186"/>
      <c r="D1" s="186"/>
      <c r="E1" s="186"/>
    </row>
    <row r="2" spans="1:22" s="182" customFormat="1" ht="12" thickBot="1" x14ac:dyDescent="0.25">
      <c r="A2" s="181" t="s">
        <v>460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2" ht="12" thickBot="1" x14ac:dyDescent="0.25">
      <c r="A3" s="1456" t="s">
        <v>1</v>
      </c>
      <c r="B3" s="1454" t="s">
        <v>415</v>
      </c>
      <c r="C3" s="1455"/>
      <c r="D3" s="1455"/>
      <c r="E3" s="1455"/>
      <c r="F3" s="1455"/>
      <c r="G3" s="1455"/>
      <c r="H3" s="1453"/>
      <c r="I3" s="1452" t="s">
        <v>416</v>
      </c>
      <c r="J3" s="1455"/>
      <c r="K3" s="1455"/>
      <c r="L3" s="1455"/>
      <c r="M3" s="1453"/>
      <c r="N3" s="1452" t="s">
        <v>417</v>
      </c>
      <c r="O3" s="1453"/>
      <c r="P3" s="1452" t="s">
        <v>0</v>
      </c>
      <c r="Q3" s="1453"/>
    </row>
    <row r="4" spans="1:22" s="201" customFormat="1" ht="80.25" customHeight="1" thickBot="1" x14ac:dyDescent="0.25">
      <c r="A4" s="1457"/>
      <c r="B4" s="225" t="s">
        <v>285</v>
      </c>
      <c r="C4" s="226" t="s">
        <v>286</v>
      </c>
      <c r="D4" s="225" t="s">
        <v>287</v>
      </c>
      <c r="E4" s="225" t="s">
        <v>288</v>
      </c>
      <c r="F4" s="225" t="s">
        <v>289</v>
      </c>
      <c r="G4" s="224" t="s">
        <v>290</v>
      </c>
      <c r="H4" s="224" t="s">
        <v>291</v>
      </c>
      <c r="I4" s="225" t="s">
        <v>292</v>
      </c>
      <c r="J4" s="224" t="s">
        <v>290</v>
      </c>
      <c r="K4" s="224" t="s">
        <v>293</v>
      </c>
      <c r="L4" s="224" t="s">
        <v>294</v>
      </c>
      <c r="M4" s="224" t="s">
        <v>295</v>
      </c>
      <c r="N4" s="224" t="s">
        <v>296</v>
      </c>
      <c r="O4" s="226" t="s">
        <v>297</v>
      </c>
      <c r="P4" s="225" t="s">
        <v>21</v>
      </c>
      <c r="Q4" s="224" t="s">
        <v>23</v>
      </c>
    </row>
    <row r="5" spans="1:22" x14ac:dyDescent="0.2">
      <c r="A5" s="202"/>
      <c r="B5" s="193"/>
      <c r="C5" s="194"/>
      <c r="D5" s="556"/>
      <c r="E5" s="556"/>
      <c r="F5" s="551"/>
      <c r="G5" s="552"/>
      <c r="H5" s="552"/>
      <c r="I5" s="552"/>
      <c r="J5" s="552"/>
      <c r="K5" s="552"/>
      <c r="L5" s="195"/>
      <c r="M5" s="194"/>
      <c r="N5" s="551"/>
      <c r="O5" s="551"/>
      <c r="P5" s="556"/>
      <c r="Q5" s="558"/>
    </row>
    <row r="6" spans="1:22" x14ac:dyDescent="0.2">
      <c r="A6" s="202" t="s">
        <v>35</v>
      </c>
      <c r="B6" s="193"/>
      <c r="C6" s="399">
        <v>528927100</v>
      </c>
      <c r="D6" s="549">
        <v>64251002</v>
      </c>
      <c r="E6" s="549">
        <v>115985586</v>
      </c>
      <c r="F6" s="193"/>
      <c r="G6" s="195">
        <v>129181</v>
      </c>
      <c r="H6" s="195">
        <f>+B6+C6+D6+E6+F6+G6</f>
        <v>709292869</v>
      </c>
      <c r="I6" s="195"/>
      <c r="J6" s="195"/>
      <c r="K6" s="195">
        <v>1298097</v>
      </c>
      <c r="L6" s="195"/>
      <c r="M6" s="194">
        <f>+I6+J6+K6+L6</f>
        <v>1298097</v>
      </c>
      <c r="N6" s="193"/>
      <c r="O6" s="193">
        <f>+N6</f>
        <v>0</v>
      </c>
      <c r="P6" s="549">
        <f>+H6+M6+O6</f>
        <v>710590966</v>
      </c>
      <c r="Q6" s="400">
        <f>+(P6/P24)*100</f>
        <v>68.241534723264607</v>
      </c>
    </row>
    <row r="7" spans="1:22" x14ac:dyDescent="0.2">
      <c r="A7" s="202"/>
      <c r="B7" s="193"/>
      <c r="C7" s="194"/>
      <c r="D7" s="549"/>
      <c r="E7" s="549"/>
      <c r="F7" s="193"/>
      <c r="G7" s="195"/>
      <c r="H7" s="195"/>
      <c r="I7" s="195"/>
      <c r="J7" s="195"/>
      <c r="K7" s="195"/>
      <c r="L7" s="195"/>
      <c r="M7" s="194"/>
      <c r="N7" s="193"/>
      <c r="O7" s="193"/>
      <c r="P7" s="549"/>
      <c r="Q7" s="400"/>
    </row>
    <row r="8" spans="1:22" x14ac:dyDescent="0.2">
      <c r="A8" s="202" t="s">
        <v>36</v>
      </c>
      <c r="B8" s="193"/>
      <c r="C8" s="194"/>
      <c r="D8" s="549"/>
      <c r="E8" s="549">
        <v>27880424</v>
      </c>
      <c r="F8" s="193"/>
      <c r="G8" s="195">
        <v>5190548</v>
      </c>
      <c r="H8" s="195">
        <f>+B8+C8+D8+E8+F8+G8</f>
        <v>33070972</v>
      </c>
      <c r="I8" s="195"/>
      <c r="J8" s="195"/>
      <c r="K8" s="195"/>
      <c r="L8" s="195"/>
      <c r="M8" s="194">
        <f>+I8+J8+K8+L8</f>
        <v>0</v>
      </c>
      <c r="N8" s="193"/>
      <c r="O8" s="193">
        <f>+N8</f>
        <v>0</v>
      </c>
      <c r="P8" s="549">
        <f>+H8+M8+O8</f>
        <v>33070972</v>
      </c>
      <c r="Q8" s="400">
        <f>+(P8/P24)*100</f>
        <v>3.1759675988761606</v>
      </c>
    </row>
    <row r="9" spans="1:22" x14ac:dyDescent="0.2">
      <c r="A9" s="202"/>
      <c r="B9" s="193"/>
      <c r="C9" s="194"/>
      <c r="D9" s="549"/>
      <c r="E9" s="549"/>
      <c r="F9" s="193"/>
      <c r="G9" s="195"/>
      <c r="H9" s="195"/>
      <c r="I9" s="195"/>
      <c r="J9" s="195"/>
      <c r="K9" s="195"/>
      <c r="L9" s="195"/>
      <c r="M9" s="194"/>
      <c r="N9" s="193"/>
      <c r="O9" s="193"/>
      <c r="P9" s="549"/>
      <c r="Q9" s="400"/>
    </row>
    <row r="10" spans="1:22" x14ac:dyDescent="0.2">
      <c r="A10" s="202" t="s">
        <v>37</v>
      </c>
      <c r="B10" s="193"/>
      <c r="C10" s="194"/>
      <c r="D10" s="549"/>
      <c r="E10" s="549"/>
      <c r="F10" s="193"/>
      <c r="G10" s="195"/>
      <c r="H10" s="195">
        <f>+B10+C10+D10+E10+F10+G10</f>
        <v>0</v>
      </c>
      <c r="I10" s="195"/>
      <c r="J10" s="195"/>
      <c r="K10" s="195">
        <v>41938592</v>
      </c>
      <c r="L10" s="195"/>
      <c r="M10" s="194">
        <f>+I10+J10+K10+L10</f>
        <v>41938592</v>
      </c>
      <c r="N10" s="193"/>
      <c r="O10" s="193">
        <f>+N10</f>
        <v>0</v>
      </c>
      <c r="P10" s="549">
        <f>+H10+M10+O10</f>
        <v>41938592</v>
      </c>
      <c r="Q10" s="400">
        <f>+(P10/P24)*100</f>
        <v>4.0275686282969536</v>
      </c>
    </row>
    <row r="11" spans="1:22" x14ac:dyDescent="0.2">
      <c r="A11" s="202" t="s">
        <v>98</v>
      </c>
      <c r="B11" s="193"/>
      <c r="C11" s="194"/>
      <c r="D11" s="549"/>
      <c r="E11" s="549"/>
      <c r="F11" s="193"/>
      <c r="G11" s="195"/>
      <c r="H11" s="195"/>
      <c r="I11" s="195"/>
      <c r="J11" s="195"/>
      <c r="K11" s="195"/>
      <c r="L11" s="195"/>
      <c r="M11" s="194"/>
      <c r="N11" s="193"/>
      <c r="O11" s="193"/>
      <c r="P11" s="549"/>
      <c r="Q11" s="400"/>
    </row>
    <row r="12" spans="1:22" x14ac:dyDescent="0.2">
      <c r="A12" s="200"/>
      <c r="B12" s="193"/>
      <c r="C12" s="196"/>
      <c r="D12" s="550"/>
      <c r="E12" s="550"/>
      <c r="F12" s="197"/>
      <c r="G12" s="195"/>
      <c r="H12" s="195"/>
      <c r="I12" s="195"/>
      <c r="J12" s="195"/>
      <c r="K12" s="195"/>
      <c r="L12" s="195"/>
      <c r="M12" s="194"/>
      <c r="N12" s="193"/>
      <c r="O12" s="193"/>
      <c r="P12" s="549"/>
      <c r="Q12" s="400"/>
    </row>
    <row r="13" spans="1:22" x14ac:dyDescent="0.2">
      <c r="A13" s="202" t="s">
        <v>38</v>
      </c>
      <c r="B13" s="193"/>
      <c r="C13" s="194"/>
      <c r="D13" s="549"/>
      <c r="E13" s="549">
        <v>72400</v>
      </c>
      <c r="F13" s="193"/>
      <c r="G13" s="195"/>
      <c r="H13" s="195">
        <f>+B13+C13+D13+E13+F13+G13</f>
        <v>72400</v>
      </c>
      <c r="I13" s="195"/>
      <c r="J13" s="195"/>
      <c r="K13" s="195"/>
      <c r="L13" s="195"/>
      <c r="M13" s="194">
        <f>+I13+J13+K13+L13</f>
        <v>0</v>
      </c>
      <c r="N13" s="193"/>
      <c r="O13" s="193">
        <f>+N13</f>
        <v>0</v>
      </c>
      <c r="P13" s="549">
        <f>+H13+M13+O13</f>
        <v>72400</v>
      </c>
      <c r="Q13" s="400">
        <f>+(P13/P24)*100</f>
        <v>6.9529270007133151E-3</v>
      </c>
    </row>
    <row r="14" spans="1:22" x14ac:dyDescent="0.2">
      <c r="A14" s="202"/>
      <c r="B14" s="193"/>
      <c r="C14" s="194"/>
      <c r="D14" s="549"/>
      <c r="E14" s="549"/>
      <c r="F14" s="193"/>
      <c r="G14" s="195"/>
      <c r="H14" s="195"/>
      <c r="I14" s="195"/>
      <c r="J14" s="195"/>
      <c r="K14" s="195"/>
      <c r="L14" s="195"/>
      <c r="M14" s="194"/>
      <c r="N14" s="193"/>
      <c r="O14" s="193"/>
      <c r="P14" s="549"/>
      <c r="Q14" s="400"/>
    </row>
    <row r="15" spans="1:22" x14ac:dyDescent="0.2">
      <c r="A15" s="202" t="s">
        <v>39</v>
      </c>
      <c r="B15" s="193"/>
      <c r="C15" s="194">
        <f>+C17</f>
        <v>39278579</v>
      </c>
      <c r="D15" s="549">
        <f t="shared" ref="D15:E15" si="0">+D17</f>
        <v>1992160</v>
      </c>
      <c r="E15" s="549">
        <f t="shared" si="0"/>
        <v>104681825</v>
      </c>
      <c r="F15" s="193"/>
      <c r="G15" s="195">
        <f>+G17</f>
        <v>2585496</v>
      </c>
      <c r="H15" s="195">
        <f>+H17</f>
        <v>148538060</v>
      </c>
      <c r="I15" s="195"/>
      <c r="J15" s="195"/>
      <c r="K15" s="195">
        <f>+K17</f>
        <v>76694558</v>
      </c>
      <c r="L15" s="195"/>
      <c r="M15" s="194">
        <f>+M17</f>
        <v>76694558</v>
      </c>
      <c r="N15" s="193">
        <f>+N17</f>
        <v>30382531</v>
      </c>
      <c r="O15" s="193">
        <f>+O17</f>
        <v>30382531</v>
      </c>
      <c r="P15" s="549">
        <f>+P17</f>
        <v>255615149</v>
      </c>
      <c r="Q15" s="559">
        <f>+Q17</f>
        <v>24.54</v>
      </c>
    </row>
    <row r="16" spans="1:22" x14ac:dyDescent="0.2">
      <c r="A16" s="202"/>
      <c r="B16" s="193"/>
      <c r="C16" s="194"/>
      <c r="D16" s="549"/>
      <c r="E16" s="549"/>
      <c r="F16" s="193"/>
      <c r="G16" s="195"/>
      <c r="H16" s="195"/>
      <c r="I16" s="195"/>
      <c r="J16" s="195"/>
      <c r="K16" s="195"/>
      <c r="L16" s="195"/>
      <c r="M16" s="194"/>
      <c r="N16" s="193"/>
      <c r="O16" s="193"/>
      <c r="P16" s="549"/>
      <c r="Q16" s="400"/>
    </row>
    <row r="17" spans="1:17" x14ac:dyDescent="0.2">
      <c r="A17" s="202" t="s">
        <v>43</v>
      </c>
      <c r="B17" s="193"/>
      <c r="C17" s="397">
        <v>39278579</v>
      </c>
      <c r="D17" s="553">
        <v>1992160</v>
      </c>
      <c r="E17" s="553">
        <v>104681825</v>
      </c>
      <c r="F17" s="193"/>
      <c r="G17" s="554">
        <v>2585496</v>
      </c>
      <c r="H17" s="195">
        <f>+B17+C17+D17+E17+F17+G17</f>
        <v>148538060</v>
      </c>
      <c r="I17" s="195"/>
      <c r="J17" s="195"/>
      <c r="K17" s="554">
        <v>76694558</v>
      </c>
      <c r="L17" s="195"/>
      <c r="M17" s="194">
        <f>+I17+J17+K17+L17</f>
        <v>76694558</v>
      </c>
      <c r="N17" s="193">
        <v>30382531</v>
      </c>
      <c r="O17" s="193">
        <f>+N17</f>
        <v>30382531</v>
      </c>
      <c r="P17" s="549">
        <f>+H17+M17+O17</f>
        <v>255615149</v>
      </c>
      <c r="Q17" s="400">
        <v>24.54</v>
      </c>
    </row>
    <row r="18" spans="1:17" x14ac:dyDescent="0.2">
      <c r="A18" s="202" t="s">
        <v>44</v>
      </c>
      <c r="B18" s="193"/>
      <c r="C18" s="194"/>
      <c r="D18" s="549"/>
      <c r="E18" s="549"/>
      <c r="F18" s="193"/>
      <c r="G18" s="195"/>
      <c r="H18" s="195"/>
      <c r="I18" s="195"/>
      <c r="J18" s="195"/>
      <c r="K18" s="195"/>
      <c r="L18" s="195"/>
      <c r="M18" s="194"/>
      <c r="N18" s="193"/>
      <c r="O18" s="193"/>
      <c r="P18" s="549"/>
      <c r="Q18" s="400"/>
    </row>
    <row r="19" spans="1:17" x14ac:dyDescent="0.2">
      <c r="A19" s="202" t="s">
        <v>40</v>
      </c>
      <c r="B19" s="193"/>
      <c r="C19" s="194"/>
      <c r="D19" s="549"/>
      <c r="E19" s="549"/>
      <c r="F19" s="193"/>
      <c r="G19" s="195"/>
      <c r="H19" s="195"/>
      <c r="I19" s="195"/>
      <c r="J19" s="195"/>
      <c r="K19" s="195"/>
      <c r="L19" s="195"/>
      <c r="M19" s="194"/>
      <c r="N19" s="193"/>
      <c r="O19" s="193"/>
      <c r="P19" s="549"/>
      <c r="Q19" s="400"/>
    </row>
    <row r="20" spans="1:17" x14ac:dyDescent="0.2">
      <c r="A20" s="202" t="s">
        <v>41</v>
      </c>
      <c r="B20" s="193"/>
      <c r="C20" s="194"/>
      <c r="D20" s="549"/>
      <c r="E20" s="549"/>
      <c r="F20" s="193"/>
      <c r="G20" s="195"/>
      <c r="H20" s="195"/>
      <c r="I20" s="195"/>
      <c r="J20" s="195"/>
      <c r="K20" s="195"/>
      <c r="L20" s="195"/>
      <c r="M20" s="194"/>
      <c r="N20" s="193"/>
      <c r="O20" s="193"/>
      <c r="P20" s="549"/>
      <c r="Q20" s="400"/>
    </row>
    <row r="21" spans="1:17" x14ac:dyDescent="0.2">
      <c r="A21" s="202" t="s">
        <v>42</v>
      </c>
      <c r="B21" s="193"/>
      <c r="C21" s="194"/>
      <c r="D21" s="549"/>
      <c r="E21" s="549"/>
      <c r="F21" s="193"/>
      <c r="G21" s="195"/>
      <c r="H21" s="195"/>
      <c r="I21" s="195"/>
      <c r="J21" s="195"/>
      <c r="K21" s="195"/>
      <c r="L21" s="195"/>
      <c r="M21" s="194"/>
      <c r="N21" s="193"/>
      <c r="O21" s="193"/>
      <c r="P21" s="549"/>
      <c r="Q21" s="400"/>
    </row>
    <row r="22" spans="1:17" x14ac:dyDescent="0.2">
      <c r="A22" s="202" t="s">
        <v>89</v>
      </c>
      <c r="B22" s="193"/>
      <c r="C22" s="194"/>
      <c r="D22" s="549"/>
      <c r="E22" s="549"/>
      <c r="F22" s="193"/>
      <c r="G22" s="195"/>
      <c r="H22" s="195"/>
      <c r="I22" s="195"/>
      <c r="J22" s="195"/>
      <c r="K22" s="195"/>
      <c r="L22" s="195"/>
      <c r="M22" s="194"/>
      <c r="N22" s="193"/>
      <c r="O22" s="193"/>
      <c r="P22" s="549"/>
      <c r="Q22" s="400"/>
    </row>
    <row r="23" spans="1:17" ht="12" thickBot="1" x14ac:dyDescent="0.25">
      <c r="A23" s="198"/>
      <c r="B23" s="198"/>
      <c r="C23" s="203"/>
      <c r="D23" s="557"/>
      <c r="E23" s="557"/>
      <c r="F23" s="198"/>
      <c r="G23" s="555"/>
      <c r="H23" s="555"/>
      <c r="I23" s="555"/>
      <c r="J23" s="555"/>
      <c r="K23" s="555"/>
      <c r="L23" s="204"/>
      <c r="M23" s="203"/>
      <c r="N23" s="198"/>
      <c r="O23" s="198"/>
      <c r="P23" s="557"/>
      <c r="Q23" s="560"/>
    </row>
    <row r="24" spans="1:17" ht="12" thickBot="1" x14ac:dyDescent="0.25">
      <c r="A24" s="205" t="s">
        <v>0</v>
      </c>
      <c r="B24" s="185"/>
      <c r="C24" s="398">
        <f>+C6+C8+C10+C13+C15</f>
        <v>568205679</v>
      </c>
      <c r="D24" s="398">
        <f t="shared" ref="D24:H24" si="1">+D6+D8+D10+D13+D15</f>
        <v>66243162</v>
      </c>
      <c r="E24" s="398">
        <f t="shared" si="1"/>
        <v>248620235</v>
      </c>
      <c r="F24" s="398">
        <f t="shared" si="1"/>
        <v>0</v>
      </c>
      <c r="G24" s="398">
        <f t="shared" si="1"/>
        <v>7905225</v>
      </c>
      <c r="H24" s="398">
        <f t="shared" si="1"/>
        <v>890974301</v>
      </c>
      <c r="I24" s="185"/>
      <c r="J24" s="185"/>
      <c r="K24" s="398">
        <f t="shared" ref="K24" si="2">+K6+K8+K10+K13+K15</f>
        <v>119931247</v>
      </c>
      <c r="L24" s="185"/>
      <c r="M24" s="398">
        <f t="shared" ref="M24" si="3">+M6+M8+M10+M13+M15</f>
        <v>119931247</v>
      </c>
      <c r="N24" s="398">
        <f t="shared" ref="N24:Q24" si="4">+N6+N8+N10+N13+N15</f>
        <v>30382531</v>
      </c>
      <c r="O24" s="398">
        <f t="shared" si="4"/>
        <v>30382531</v>
      </c>
      <c r="P24" s="398">
        <f t="shared" si="4"/>
        <v>1041288079</v>
      </c>
      <c r="Q24" s="398">
        <f t="shared" si="4"/>
        <v>99.992023877438413</v>
      </c>
    </row>
    <row r="25" spans="1:17" x14ac:dyDescent="0.2">
      <c r="A25" s="189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</row>
  </sheetData>
  <mergeCells count="5">
    <mergeCell ref="P3:Q3"/>
    <mergeCell ref="B3:H3"/>
    <mergeCell ref="I3:M3"/>
    <mergeCell ref="A3:A4"/>
    <mergeCell ref="N3:O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&amp;C&amp;"Arial,Negrita"&amp;18PROYECTO DEL PRESUPUESTO 2021
</oddHeader>
    <oddFooter>&amp;L&amp;"Arial,Negrita"&amp;8PROYECTO DE PRESUPUESTO PARA EL AÑO FISCAL 2020
INFORMACIÓN PARA LA COMISIÓN DE PRESUPUESTO Y CUENTA GENERAL DE LA REPÚBLICA DEL CONGRESO DE LA REPÚBLICA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6">
    <tabColor theme="4"/>
    <pageSetUpPr fitToPage="1"/>
  </sheetPr>
  <dimension ref="A1:V108"/>
  <sheetViews>
    <sheetView zoomScale="90" zoomScaleNormal="100" zoomScaleSheetLayoutView="70" workbookViewId="0">
      <selection activeCell="A2" sqref="A2"/>
    </sheetView>
  </sheetViews>
  <sheetFormatPr baseColWidth="10" defaultColWidth="11.42578125" defaultRowHeight="12" x14ac:dyDescent="0.2"/>
  <cols>
    <col min="1" max="1" width="25" style="147" customWidth="1"/>
    <col min="2" max="2" width="16.28515625" style="147" bestFit="1" customWidth="1"/>
    <col min="3" max="3" width="4.5703125" style="147" customWidth="1"/>
    <col min="4" max="4" width="10.42578125" style="147" customWidth="1"/>
    <col min="5" max="5" width="9.5703125" style="147" customWidth="1"/>
    <col min="6" max="6" width="10.85546875" style="147" customWidth="1"/>
    <col min="7" max="7" width="4.7109375" style="147" customWidth="1"/>
    <col min="8" max="8" width="10" style="147" customWidth="1"/>
    <col min="9" max="9" width="10.42578125" style="147" customWidth="1"/>
    <col min="10" max="10" width="4.85546875" style="147" customWidth="1"/>
    <col min="11" max="11" width="4.140625" style="147" customWidth="1"/>
    <col min="12" max="12" width="11" style="147" customWidth="1"/>
    <col min="13" max="13" width="5.140625" style="147" customWidth="1"/>
    <col min="14" max="14" width="10.42578125" style="147" customWidth="1"/>
    <col min="15" max="15" width="9.85546875" style="147" customWidth="1"/>
    <col min="16" max="16" width="9.7109375" style="147" customWidth="1"/>
    <col min="17" max="17" width="12.42578125" style="147" customWidth="1"/>
    <col min="18" max="18" width="8.7109375" style="147" customWidth="1"/>
    <col min="19" max="16384" width="11.42578125" style="147"/>
  </cols>
  <sheetData>
    <row r="1" spans="1:22" s="5" customFormat="1" x14ac:dyDescent="0.2">
      <c r="A1" s="171" t="s">
        <v>418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2" s="5" customFormat="1" ht="12.75" thickBot="1" x14ac:dyDescent="0.25">
      <c r="A2" s="173" t="s">
        <v>460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27" customHeight="1" x14ac:dyDescent="0.2">
      <c r="A3" s="1460" t="s">
        <v>129</v>
      </c>
      <c r="B3" s="1467" t="s">
        <v>130</v>
      </c>
      <c r="C3" s="1462" t="s">
        <v>24</v>
      </c>
      <c r="D3" s="1463"/>
      <c r="E3" s="1463"/>
      <c r="F3" s="1463"/>
      <c r="G3" s="1463"/>
      <c r="H3" s="1463"/>
      <c r="I3" s="1464"/>
      <c r="J3" s="1465" t="s">
        <v>110</v>
      </c>
      <c r="K3" s="1458"/>
      <c r="L3" s="1458"/>
      <c r="M3" s="1458"/>
      <c r="N3" s="1459"/>
      <c r="O3" s="1466" t="s">
        <v>99</v>
      </c>
      <c r="P3" s="1458"/>
      <c r="Q3" s="1458" t="s">
        <v>0</v>
      </c>
      <c r="R3" s="1459"/>
    </row>
    <row r="4" spans="1:22" ht="112.5" customHeight="1" thickBot="1" x14ac:dyDescent="0.25">
      <c r="A4" s="1461"/>
      <c r="B4" s="1468"/>
      <c r="C4" s="227" t="s">
        <v>248</v>
      </c>
      <c r="D4" s="228" t="s">
        <v>249</v>
      </c>
      <c r="E4" s="228" t="s">
        <v>250</v>
      </c>
      <c r="F4" s="228" t="s">
        <v>251</v>
      </c>
      <c r="G4" s="228" t="s">
        <v>252</v>
      </c>
      <c r="H4" s="228" t="s">
        <v>253</v>
      </c>
      <c r="I4" s="229" t="s">
        <v>107</v>
      </c>
      <c r="J4" s="227" t="s">
        <v>252</v>
      </c>
      <c r="K4" s="228" t="s">
        <v>253</v>
      </c>
      <c r="L4" s="228" t="s">
        <v>254</v>
      </c>
      <c r="M4" s="228" t="s">
        <v>255</v>
      </c>
      <c r="N4" s="229" t="s">
        <v>108</v>
      </c>
      <c r="O4" s="230" t="s">
        <v>256</v>
      </c>
      <c r="P4" s="228" t="s">
        <v>109</v>
      </c>
      <c r="Q4" s="231" t="s">
        <v>32</v>
      </c>
      <c r="R4" s="232" t="s">
        <v>97</v>
      </c>
    </row>
    <row r="5" spans="1:22" x14ac:dyDescent="0.2">
      <c r="A5" s="22" t="s">
        <v>131</v>
      </c>
      <c r="B5" s="55">
        <v>2019</v>
      </c>
      <c r="C5" s="107"/>
      <c r="D5" s="442"/>
      <c r="E5" s="442"/>
      <c r="F5" s="442"/>
      <c r="G5" s="442"/>
      <c r="H5" s="442"/>
      <c r="I5" s="106"/>
      <c r="J5" s="107"/>
      <c r="K5" s="105"/>
      <c r="L5" s="105"/>
      <c r="M5" s="105"/>
      <c r="N5" s="106"/>
      <c r="O5" s="104"/>
      <c r="P5" s="105"/>
      <c r="Q5" s="105"/>
      <c r="R5" s="106"/>
    </row>
    <row r="6" spans="1:22" x14ac:dyDescent="0.2">
      <c r="A6" s="24"/>
      <c r="B6" s="16">
        <v>2020</v>
      </c>
      <c r="C6" s="108"/>
      <c r="D6" s="430"/>
      <c r="E6" s="430"/>
      <c r="F6" s="430"/>
      <c r="G6" s="430"/>
      <c r="H6" s="430"/>
      <c r="I6" s="110"/>
      <c r="J6" s="108"/>
      <c r="K6" s="109"/>
      <c r="L6" s="109"/>
      <c r="M6" s="109"/>
      <c r="N6" s="110"/>
      <c r="O6" s="111"/>
      <c r="P6" s="109"/>
      <c r="Q6" s="109"/>
      <c r="R6" s="110"/>
    </row>
    <row r="7" spans="1:22" x14ac:dyDescent="0.2">
      <c r="A7" s="24"/>
      <c r="B7" s="16">
        <v>2021</v>
      </c>
      <c r="C7" s="112"/>
      <c r="D7" s="441"/>
      <c r="E7" s="441"/>
      <c r="F7" s="441"/>
      <c r="G7" s="441"/>
      <c r="H7" s="441"/>
      <c r="I7" s="114"/>
      <c r="J7" s="112"/>
      <c r="K7" s="113"/>
      <c r="L7" s="113"/>
      <c r="M7" s="113"/>
      <c r="N7" s="114"/>
      <c r="O7" s="115"/>
      <c r="P7" s="113"/>
      <c r="Q7" s="113"/>
      <c r="R7" s="114"/>
    </row>
    <row r="8" spans="1:22" ht="12.75" thickBot="1" x14ac:dyDescent="0.25">
      <c r="A8" s="89"/>
      <c r="B8" s="103" t="s">
        <v>419</v>
      </c>
      <c r="C8" s="116"/>
      <c r="D8" s="437"/>
      <c r="E8" s="437"/>
      <c r="F8" s="437"/>
      <c r="G8" s="437"/>
      <c r="H8" s="437"/>
      <c r="I8" s="118"/>
      <c r="J8" s="116"/>
      <c r="K8" s="117"/>
      <c r="L8" s="117"/>
      <c r="M8" s="117"/>
      <c r="N8" s="118"/>
      <c r="O8" s="119"/>
      <c r="P8" s="117"/>
      <c r="Q8" s="117"/>
      <c r="R8" s="118"/>
    </row>
    <row r="9" spans="1:22" x14ac:dyDescent="0.2">
      <c r="A9" s="4" t="s">
        <v>132</v>
      </c>
      <c r="B9" s="55">
        <v>2019</v>
      </c>
      <c r="C9" s="120"/>
      <c r="D9" s="435"/>
      <c r="E9" s="435"/>
      <c r="F9" s="435"/>
      <c r="G9" s="435"/>
      <c r="H9" s="435"/>
      <c r="I9" s="122"/>
      <c r="J9" s="120"/>
      <c r="K9" s="121"/>
      <c r="L9" s="121"/>
      <c r="M9" s="121"/>
      <c r="N9" s="122"/>
      <c r="O9" s="123"/>
      <c r="P9" s="121"/>
      <c r="Q9" s="121"/>
      <c r="R9" s="122"/>
    </row>
    <row r="10" spans="1:22" x14ac:dyDescent="0.2">
      <c r="A10" s="24"/>
      <c r="B10" s="16">
        <v>2020</v>
      </c>
      <c r="C10" s="108"/>
      <c r="D10" s="430"/>
      <c r="E10" s="430"/>
      <c r="F10" s="430"/>
      <c r="G10" s="430"/>
      <c r="H10" s="430"/>
      <c r="I10" s="110"/>
      <c r="J10" s="108"/>
      <c r="K10" s="109"/>
      <c r="L10" s="109"/>
      <c r="M10" s="109"/>
      <c r="N10" s="110"/>
      <c r="O10" s="111"/>
      <c r="P10" s="109"/>
      <c r="Q10" s="109"/>
      <c r="R10" s="110"/>
    </row>
    <row r="11" spans="1:22" x14ac:dyDescent="0.2">
      <c r="A11" s="24"/>
      <c r="B11" s="16">
        <v>2021</v>
      </c>
      <c r="C11" s="108"/>
      <c r="D11" s="430"/>
      <c r="E11" s="430"/>
      <c r="F11" s="430"/>
      <c r="G11" s="430"/>
      <c r="H11" s="430"/>
      <c r="I11" s="110"/>
      <c r="J11" s="108"/>
      <c r="K11" s="109"/>
      <c r="L11" s="109"/>
      <c r="M11" s="109"/>
      <c r="N11" s="110"/>
      <c r="O11" s="111"/>
      <c r="P11" s="109"/>
      <c r="Q11" s="109"/>
      <c r="R11" s="110"/>
    </row>
    <row r="12" spans="1:22" ht="12.75" thickBot="1" x14ac:dyDescent="0.25">
      <c r="A12" s="26"/>
      <c r="B12" s="103" t="s">
        <v>419</v>
      </c>
      <c r="C12" s="116"/>
      <c r="D12" s="436"/>
      <c r="E12" s="436"/>
      <c r="F12" s="436" t="s">
        <v>101</v>
      </c>
      <c r="G12" s="436"/>
      <c r="H12" s="437"/>
      <c r="I12" s="118"/>
      <c r="J12" s="116"/>
      <c r="K12" s="117"/>
      <c r="L12" s="117"/>
      <c r="M12" s="117"/>
      <c r="N12" s="118"/>
      <c r="O12" s="119"/>
      <c r="P12" s="117"/>
      <c r="Q12" s="117"/>
      <c r="R12" s="118"/>
    </row>
    <row r="13" spans="1:22" x14ac:dyDescent="0.2">
      <c r="A13" s="22" t="s">
        <v>133</v>
      </c>
      <c r="B13" s="55">
        <v>2019</v>
      </c>
      <c r="C13" s="107"/>
      <c r="D13" s="432">
        <v>41782897</v>
      </c>
      <c r="E13" s="453">
        <v>948000</v>
      </c>
      <c r="F13" s="439">
        <v>43552695</v>
      </c>
      <c r="G13" s="451">
        <v>0</v>
      </c>
      <c r="H13" s="453">
        <v>11416282</v>
      </c>
      <c r="I13" s="446">
        <f>+D13+E13+F13+G13+H13</f>
        <v>97699874</v>
      </c>
      <c r="J13" s="445"/>
      <c r="K13" s="442"/>
      <c r="L13" s="451">
        <v>4251677</v>
      </c>
      <c r="M13" s="442"/>
      <c r="N13" s="446">
        <f>+J13+K13+L13+M13</f>
        <v>4251677</v>
      </c>
      <c r="O13" s="104"/>
      <c r="P13" s="105">
        <f>+O13</f>
        <v>0</v>
      </c>
      <c r="Q13" s="442">
        <f>+I13+N13+P13</f>
        <v>101951551</v>
      </c>
      <c r="R13" s="106"/>
    </row>
    <row r="14" spans="1:22" x14ac:dyDescent="0.2">
      <c r="A14" s="24"/>
      <c r="B14" s="16">
        <v>2020</v>
      </c>
      <c r="C14" s="108"/>
      <c r="D14" s="434">
        <v>43165050</v>
      </c>
      <c r="E14" s="430">
        <v>1018459</v>
      </c>
      <c r="F14" s="433">
        <v>52831306</v>
      </c>
      <c r="G14" s="447"/>
      <c r="H14" s="430">
        <v>6509737</v>
      </c>
      <c r="I14" s="452">
        <f t="shared" ref="I14:I15" si="0">+D14+E14+F14+G14+H14</f>
        <v>103524552</v>
      </c>
      <c r="J14" s="443"/>
      <c r="K14" s="430"/>
      <c r="L14" s="430">
        <v>53844659</v>
      </c>
      <c r="M14" s="430"/>
      <c r="N14" s="452">
        <f t="shared" ref="N14:N15" si="1">+J14+K14+L14+M14</f>
        <v>53844659</v>
      </c>
      <c r="O14" s="111"/>
      <c r="P14" s="109">
        <f>+O14</f>
        <v>0</v>
      </c>
      <c r="Q14" s="430">
        <f>+I14+N14+P14</f>
        <v>157369211</v>
      </c>
      <c r="R14" s="110"/>
    </row>
    <row r="15" spans="1:22" x14ac:dyDescent="0.2">
      <c r="A15" s="24"/>
      <c r="B15" s="16">
        <v>2021</v>
      </c>
      <c r="C15" s="108"/>
      <c r="D15" s="440">
        <v>31802393</v>
      </c>
      <c r="E15" s="435">
        <v>603937</v>
      </c>
      <c r="F15" s="438">
        <v>36280906</v>
      </c>
      <c r="G15" s="449"/>
      <c r="H15" s="435">
        <v>7700435</v>
      </c>
      <c r="I15" s="444">
        <f t="shared" si="0"/>
        <v>76387671</v>
      </c>
      <c r="J15" s="443"/>
      <c r="K15" s="430"/>
      <c r="L15" s="451">
        <v>30450927</v>
      </c>
      <c r="M15" s="430"/>
      <c r="N15" s="444">
        <f t="shared" si="1"/>
        <v>30450927</v>
      </c>
      <c r="O15" s="111"/>
      <c r="P15" s="109">
        <f>+O15</f>
        <v>0</v>
      </c>
      <c r="Q15" s="430">
        <f>+I15+N15+P15</f>
        <v>106838598</v>
      </c>
      <c r="R15" s="110"/>
    </row>
    <row r="16" spans="1:22" ht="12.75" thickBot="1" x14ac:dyDescent="0.25">
      <c r="A16" s="26"/>
      <c r="B16" s="103" t="s">
        <v>419</v>
      </c>
      <c r="C16" s="116"/>
      <c r="D16" s="437">
        <f>+((D15-D14)/D14)*100</f>
        <v>-26.323743398884051</v>
      </c>
      <c r="E16" s="437">
        <f t="shared" ref="E16:F16" si="2">+((E15-E14)/E14)*100</f>
        <v>-40.700902049076106</v>
      </c>
      <c r="F16" s="437">
        <f t="shared" si="2"/>
        <v>-31.326880316000516</v>
      </c>
      <c r="G16" s="437"/>
      <c r="H16" s="437">
        <f t="shared" ref="H16:I16" si="3">+((H15-H14)/H14)*100</f>
        <v>18.291030805084752</v>
      </c>
      <c r="I16" s="437">
        <f t="shared" si="3"/>
        <v>-26.212990518423108</v>
      </c>
      <c r="J16" s="116"/>
      <c r="K16" s="117"/>
      <c r="L16" s="437">
        <f>+((L15-L14)/L14)*100</f>
        <v>-43.446708428406986</v>
      </c>
      <c r="M16" s="117"/>
      <c r="N16" s="437">
        <f>+((N15-N14)/N14)*100</f>
        <v>-43.446708428406986</v>
      </c>
      <c r="O16" s="119"/>
      <c r="P16" s="117"/>
      <c r="Q16" s="437">
        <f>+((Q15-Q14)/Q14)*100</f>
        <v>-32.109592898702402</v>
      </c>
      <c r="R16" s="118"/>
    </row>
    <row r="17" spans="1:18" x14ac:dyDescent="0.2">
      <c r="A17" s="22" t="s">
        <v>257</v>
      </c>
      <c r="B17" s="55">
        <v>2019</v>
      </c>
      <c r="C17" s="107"/>
      <c r="D17" s="442"/>
      <c r="E17" s="442"/>
      <c r="F17" s="442"/>
      <c r="G17" s="442"/>
      <c r="H17" s="442"/>
      <c r="I17" s="106"/>
      <c r="J17" s="107"/>
      <c r="K17" s="105"/>
      <c r="L17" s="105"/>
      <c r="M17" s="105"/>
      <c r="N17" s="106"/>
      <c r="O17" s="104"/>
      <c r="P17" s="105"/>
      <c r="Q17" s="105"/>
      <c r="R17" s="106"/>
    </row>
    <row r="18" spans="1:18" x14ac:dyDescent="0.2">
      <c r="A18" s="24"/>
      <c r="B18" s="16">
        <v>2020</v>
      </c>
      <c r="C18" s="108"/>
      <c r="D18" s="430"/>
      <c r="E18" s="430"/>
      <c r="F18" s="430"/>
      <c r="G18" s="430"/>
      <c r="H18" s="430"/>
      <c r="I18" s="110"/>
      <c r="J18" s="108"/>
      <c r="K18" s="109"/>
      <c r="L18" s="109"/>
      <c r="M18" s="109"/>
      <c r="N18" s="110"/>
      <c r="O18" s="111"/>
      <c r="P18" s="109"/>
      <c r="Q18" s="109"/>
      <c r="R18" s="110"/>
    </row>
    <row r="19" spans="1:18" x14ac:dyDescent="0.2">
      <c r="A19" s="24"/>
      <c r="B19" s="16">
        <v>2021</v>
      </c>
      <c r="C19" s="108"/>
      <c r="D19" s="430"/>
      <c r="E19" s="430"/>
      <c r="F19" s="430"/>
      <c r="G19" s="430"/>
      <c r="H19" s="430"/>
      <c r="I19" s="110"/>
      <c r="J19" s="108"/>
      <c r="K19" s="109"/>
      <c r="L19" s="109"/>
      <c r="M19" s="109"/>
      <c r="N19" s="110"/>
      <c r="O19" s="111"/>
      <c r="P19" s="109"/>
      <c r="Q19" s="109"/>
      <c r="R19" s="110"/>
    </row>
    <row r="20" spans="1:18" ht="12.75" thickBot="1" x14ac:dyDescent="0.25">
      <c r="A20" s="26"/>
      <c r="B20" s="103" t="s">
        <v>419</v>
      </c>
      <c r="C20" s="116"/>
      <c r="D20" s="437"/>
      <c r="E20" s="437"/>
      <c r="F20" s="437"/>
      <c r="G20" s="437"/>
      <c r="H20" s="437"/>
      <c r="I20" s="118"/>
      <c r="J20" s="116"/>
      <c r="K20" s="117"/>
      <c r="L20" s="117"/>
      <c r="M20" s="117"/>
      <c r="N20" s="118"/>
      <c r="O20" s="119"/>
      <c r="P20" s="117"/>
      <c r="Q20" s="117"/>
      <c r="R20" s="118"/>
    </row>
    <row r="21" spans="1:18" x14ac:dyDescent="0.2">
      <c r="A21" s="22" t="s">
        <v>258</v>
      </c>
      <c r="B21" s="55">
        <v>2019</v>
      </c>
      <c r="C21" s="107"/>
      <c r="D21" s="451">
        <v>1074634</v>
      </c>
      <c r="E21" s="453">
        <v>1292754</v>
      </c>
      <c r="F21" s="451">
        <v>1031025</v>
      </c>
      <c r="G21" s="442"/>
      <c r="H21" s="442">
        <v>0</v>
      </c>
      <c r="I21" s="446">
        <f>+D21+E21+F21+G21+H21</f>
        <v>3398413</v>
      </c>
      <c r="J21" s="107"/>
      <c r="K21" s="105"/>
      <c r="L21" s="162">
        <v>859298</v>
      </c>
      <c r="M21" s="105"/>
      <c r="N21" s="446">
        <f>+J21+K21+L21+M21</f>
        <v>859298</v>
      </c>
      <c r="O21" s="104"/>
      <c r="P21" s="105">
        <f>+O21</f>
        <v>0</v>
      </c>
      <c r="Q21" s="442">
        <f>+I21+N21+P21</f>
        <v>4257711</v>
      </c>
      <c r="R21" s="106"/>
    </row>
    <row r="22" spans="1:18" x14ac:dyDescent="0.2">
      <c r="A22" s="24"/>
      <c r="B22" s="16">
        <v>2020</v>
      </c>
      <c r="C22" s="108"/>
      <c r="D22" s="434">
        <v>1014228</v>
      </c>
      <c r="E22" s="430">
        <v>1292754</v>
      </c>
      <c r="F22" s="433">
        <v>6516053</v>
      </c>
      <c r="G22" s="430"/>
      <c r="H22" s="430"/>
      <c r="I22" s="452">
        <f t="shared" ref="I22:I23" si="4">+D22+E22+F22+G22+H22</f>
        <v>8823035</v>
      </c>
      <c r="J22" s="108"/>
      <c r="K22" s="109"/>
      <c r="L22" s="431">
        <v>4822106</v>
      </c>
      <c r="M22" s="109"/>
      <c r="N22" s="452">
        <f t="shared" ref="N22:N23" si="5">+J22+K22+L22+M22</f>
        <v>4822106</v>
      </c>
      <c r="O22" s="111"/>
      <c r="P22" s="109">
        <f>+O22</f>
        <v>0</v>
      </c>
      <c r="Q22" s="430">
        <f t="shared" ref="Q22:Q23" si="6">+I22+N22+P22</f>
        <v>13645141</v>
      </c>
      <c r="R22" s="110"/>
    </row>
    <row r="23" spans="1:18" x14ac:dyDescent="0.2">
      <c r="A23" s="24"/>
      <c r="B23" s="16">
        <v>2021</v>
      </c>
      <c r="C23" s="108"/>
      <c r="D23" s="451">
        <v>968698</v>
      </c>
      <c r="E23" s="435">
        <v>88557</v>
      </c>
      <c r="F23" s="451">
        <v>6783324</v>
      </c>
      <c r="G23" s="430"/>
      <c r="H23" s="430"/>
      <c r="I23" s="444">
        <f t="shared" si="4"/>
        <v>7840579</v>
      </c>
      <c r="J23" s="108"/>
      <c r="K23" s="109"/>
      <c r="L23" s="162">
        <v>260450</v>
      </c>
      <c r="M23" s="109"/>
      <c r="N23" s="452">
        <f t="shared" si="5"/>
        <v>260450</v>
      </c>
      <c r="O23" s="111"/>
      <c r="P23" s="109">
        <f>+O23</f>
        <v>0</v>
      </c>
      <c r="Q23" s="430">
        <f t="shared" si="6"/>
        <v>8101029</v>
      </c>
      <c r="R23" s="110"/>
    </row>
    <row r="24" spans="1:18" ht="12.75" thickBot="1" x14ac:dyDescent="0.25">
      <c r="A24" s="26"/>
      <c r="B24" s="103" t="s">
        <v>419</v>
      </c>
      <c r="C24" s="116"/>
      <c r="D24" s="437">
        <f>+((D23-D22)/D22)*100</f>
        <v>-4.4891286771810677</v>
      </c>
      <c r="E24" s="437">
        <f t="shared" ref="E24:F24" si="7">+((E23-E22)/E22)*100</f>
        <v>-93.149740785950002</v>
      </c>
      <c r="F24" s="437">
        <f t="shared" si="7"/>
        <v>4.1017315236693133</v>
      </c>
      <c r="G24" s="437"/>
      <c r="H24" s="437"/>
      <c r="I24" s="437">
        <f>+((I23-I22)/I22)*100</f>
        <v>-11.13512527151938</v>
      </c>
      <c r="J24" s="116"/>
      <c r="K24" s="117"/>
      <c r="L24" s="437">
        <f>+((L23-L22)/L22)*100</f>
        <v>-94.598832958047794</v>
      </c>
      <c r="M24" s="117"/>
      <c r="N24" s="437">
        <f>+((N23-N22)/N22)*100</f>
        <v>-94.598832958047794</v>
      </c>
      <c r="O24" s="119"/>
      <c r="P24" s="117"/>
      <c r="Q24" s="437">
        <f>+((Q23-Q22)/Q22)*100</f>
        <v>-40.630668455532998</v>
      </c>
      <c r="R24" s="118"/>
    </row>
    <row r="25" spans="1:18" x14ac:dyDescent="0.2">
      <c r="A25" s="22" t="s">
        <v>259</v>
      </c>
      <c r="B25" s="55">
        <v>2019</v>
      </c>
      <c r="C25" s="107"/>
      <c r="D25" s="442"/>
      <c r="E25" s="442"/>
      <c r="F25" s="442"/>
      <c r="G25" s="442"/>
      <c r="H25" s="442"/>
      <c r="I25" s="106"/>
      <c r="J25" s="107"/>
      <c r="K25" s="105"/>
      <c r="L25" s="105"/>
      <c r="M25" s="105"/>
      <c r="N25" s="106"/>
      <c r="O25" s="104"/>
      <c r="P25" s="105"/>
      <c r="Q25" s="105"/>
      <c r="R25" s="106"/>
    </row>
    <row r="26" spans="1:18" x14ac:dyDescent="0.2">
      <c r="A26" s="24"/>
      <c r="B26" s="16">
        <v>2020</v>
      </c>
      <c r="C26" s="108"/>
      <c r="D26" s="430"/>
      <c r="E26" s="430"/>
      <c r="F26" s="430"/>
      <c r="G26" s="430"/>
      <c r="H26" s="430"/>
      <c r="I26" s="110"/>
      <c r="J26" s="108"/>
      <c r="K26" s="109"/>
      <c r="L26" s="109"/>
      <c r="M26" s="109"/>
      <c r="N26" s="110"/>
      <c r="O26" s="111"/>
      <c r="P26" s="109"/>
      <c r="Q26" s="109"/>
      <c r="R26" s="110"/>
    </row>
    <row r="27" spans="1:18" x14ac:dyDescent="0.2">
      <c r="A27" s="24"/>
      <c r="B27" s="16">
        <v>2021</v>
      </c>
      <c r="C27" s="108"/>
      <c r="D27" s="430"/>
      <c r="E27" s="430"/>
      <c r="F27" s="430"/>
      <c r="G27" s="430"/>
      <c r="H27" s="430"/>
      <c r="I27" s="110"/>
      <c r="J27" s="108"/>
      <c r="K27" s="109"/>
      <c r="L27" s="109"/>
      <c r="M27" s="109"/>
      <c r="N27" s="110"/>
      <c r="O27" s="111"/>
      <c r="P27" s="109"/>
      <c r="Q27" s="109"/>
      <c r="R27" s="110"/>
    </row>
    <row r="28" spans="1:18" ht="12.75" thickBot="1" x14ac:dyDescent="0.25">
      <c r="A28" s="26"/>
      <c r="B28" s="103" t="s">
        <v>419</v>
      </c>
      <c r="C28" s="116"/>
      <c r="D28" s="437"/>
      <c r="E28" s="437"/>
      <c r="F28" s="437"/>
      <c r="G28" s="437"/>
      <c r="H28" s="437"/>
      <c r="I28" s="118"/>
      <c r="J28" s="116"/>
      <c r="K28" s="117"/>
      <c r="L28" s="117"/>
      <c r="M28" s="117"/>
      <c r="N28" s="118"/>
      <c r="O28" s="119"/>
      <c r="P28" s="117"/>
      <c r="Q28" s="117"/>
      <c r="R28" s="118"/>
    </row>
    <row r="29" spans="1:18" x14ac:dyDescent="0.2">
      <c r="A29" s="22" t="s">
        <v>260</v>
      </c>
      <c r="B29" s="55">
        <v>2019</v>
      </c>
      <c r="C29" s="107"/>
      <c r="D29" s="451">
        <v>1749642</v>
      </c>
      <c r="E29" s="442">
        <v>0</v>
      </c>
      <c r="F29" s="451">
        <v>1429110</v>
      </c>
      <c r="G29" s="442"/>
      <c r="H29" s="442"/>
      <c r="I29" s="446">
        <f>+D29+E29+F29+G29+H29</f>
        <v>3178752</v>
      </c>
      <c r="J29" s="107"/>
      <c r="K29" s="105"/>
      <c r="L29" s="162">
        <v>108509</v>
      </c>
      <c r="M29" s="105"/>
      <c r="N29" s="446">
        <f>+J29+K29+L29+M29</f>
        <v>108509</v>
      </c>
      <c r="O29" s="104"/>
      <c r="P29" s="105">
        <f>+O29</f>
        <v>0</v>
      </c>
      <c r="Q29" s="442">
        <f>+I29+N29+P29</f>
        <v>3287261</v>
      </c>
      <c r="R29" s="106"/>
    </row>
    <row r="30" spans="1:18" x14ac:dyDescent="0.2">
      <c r="A30" s="24"/>
      <c r="B30" s="16">
        <v>2020</v>
      </c>
      <c r="C30" s="108"/>
      <c r="D30" s="430">
        <v>1195158</v>
      </c>
      <c r="E30" s="430"/>
      <c r="F30" s="430">
        <v>2004519</v>
      </c>
      <c r="G30" s="430"/>
      <c r="H30" s="430"/>
      <c r="I30" s="452">
        <f t="shared" ref="I30:I31" si="8">+D30+E30+F30+G30+H30</f>
        <v>3199677</v>
      </c>
      <c r="J30" s="108"/>
      <c r="K30" s="109"/>
      <c r="L30" s="109"/>
      <c r="M30" s="109"/>
      <c r="N30" s="452">
        <f t="shared" ref="N30:N31" si="9">+J30+K30+L30+M30</f>
        <v>0</v>
      </c>
      <c r="O30" s="111"/>
      <c r="P30" s="109">
        <f>+O30</f>
        <v>0</v>
      </c>
      <c r="Q30" s="430">
        <f t="shared" ref="Q30:Q31" si="10">+I30+N30+P30</f>
        <v>3199677</v>
      </c>
      <c r="R30" s="110"/>
    </row>
    <row r="31" spans="1:18" x14ac:dyDescent="0.2">
      <c r="A31" s="24"/>
      <c r="B31" s="16">
        <v>2021</v>
      </c>
      <c r="C31" s="108"/>
      <c r="D31" s="430">
        <v>1067022</v>
      </c>
      <c r="E31" s="430"/>
      <c r="F31" s="430">
        <v>1107450</v>
      </c>
      <c r="G31" s="430"/>
      <c r="H31" s="430"/>
      <c r="I31" s="444">
        <f t="shared" si="8"/>
        <v>2174472</v>
      </c>
      <c r="J31" s="108"/>
      <c r="K31" s="109"/>
      <c r="L31" s="109"/>
      <c r="M31" s="109"/>
      <c r="N31" s="452">
        <f t="shared" si="9"/>
        <v>0</v>
      </c>
      <c r="O31" s="111"/>
      <c r="P31" s="109">
        <f>+O31</f>
        <v>0</v>
      </c>
      <c r="Q31" s="430">
        <f t="shared" si="10"/>
        <v>2174472</v>
      </c>
      <c r="R31" s="110"/>
    </row>
    <row r="32" spans="1:18" ht="12.75" thickBot="1" x14ac:dyDescent="0.25">
      <c r="A32" s="26"/>
      <c r="B32" s="103" t="s">
        <v>419</v>
      </c>
      <c r="C32" s="116"/>
      <c r="D32" s="437">
        <f>+((D31-D30)/D30)*100</f>
        <v>-10.721260285250986</v>
      </c>
      <c r="E32" s="437"/>
      <c r="F32" s="437">
        <f>+((F31-F30)/F30)*100</f>
        <v>-44.75233210560738</v>
      </c>
      <c r="G32" s="437"/>
      <c r="H32" s="437"/>
      <c r="I32" s="437">
        <f>+((I31-I30)/I30)*100</f>
        <v>-32.040890377372463</v>
      </c>
      <c r="J32" s="116"/>
      <c r="K32" s="117"/>
      <c r="L32" s="437">
        <v>0</v>
      </c>
      <c r="M32" s="117"/>
      <c r="N32" s="118">
        <v>0</v>
      </c>
      <c r="O32" s="119"/>
      <c r="P32" s="117"/>
      <c r="Q32" s="437">
        <f>+((Q31-Q30)/Q30)*100</f>
        <v>-32.040890377372463</v>
      </c>
      <c r="R32" s="118"/>
    </row>
    <row r="33" spans="1:18" x14ac:dyDescent="0.2">
      <c r="A33" s="22" t="s">
        <v>261</v>
      </c>
      <c r="B33" s="55">
        <v>2019</v>
      </c>
      <c r="C33" s="107"/>
      <c r="D33" s="451">
        <v>2565388</v>
      </c>
      <c r="E33" s="442">
        <v>0</v>
      </c>
      <c r="F33" s="442">
        <v>0</v>
      </c>
      <c r="G33" s="451"/>
      <c r="H33" s="442">
        <v>0</v>
      </c>
      <c r="I33" s="446">
        <f>+D33+E33+F33+G33+H33</f>
        <v>2565388</v>
      </c>
      <c r="J33" s="107"/>
      <c r="K33" s="105"/>
      <c r="L33" s="162">
        <v>3754585</v>
      </c>
      <c r="M33" s="105"/>
      <c r="N33" s="446">
        <f>+J33+K33+L33+M33</f>
        <v>3754585</v>
      </c>
      <c r="O33" s="104"/>
      <c r="P33" s="105">
        <f>+O33</f>
        <v>0</v>
      </c>
      <c r="Q33" s="442">
        <f>+I33+N33+P33</f>
        <v>6319973</v>
      </c>
      <c r="R33" s="106"/>
    </row>
    <row r="34" spans="1:18" x14ac:dyDescent="0.2">
      <c r="A34" s="24"/>
      <c r="B34" s="16">
        <v>2020</v>
      </c>
      <c r="C34" s="108"/>
      <c r="D34" s="430">
        <v>2382543</v>
      </c>
      <c r="E34" s="430"/>
      <c r="F34" s="430">
        <v>3371895</v>
      </c>
      <c r="G34" s="430"/>
      <c r="H34" s="430"/>
      <c r="I34" s="452">
        <f t="shared" ref="I34:I35" si="11">+D34+E34+F34+G34+H34</f>
        <v>5754438</v>
      </c>
      <c r="J34" s="108"/>
      <c r="K34" s="109"/>
      <c r="L34" s="431">
        <v>50000</v>
      </c>
      <c r="M34" s="109"/>
      <c r="N34" s="452">
        <f t="shared" ref="N34:N35" si="12">+J34+K34+L34+M34</f>
        <v>50000</v>
      </c>
      <c r="O34" s="111"/>
      <c r="P34" s="109">
        <f>+O34</f>
        <v>0</v>
      </c>
      <c r="Q34" s="430">
        <f t="shared" ref="Q34:Q35" si="13">+I34+N34+P34</f>
        <v>5804438</v>
      </c>
      <c r="R34" s="110"/>
    </row>
    <row r="35" spans="1:18" x14ac:dyDescent="0.2">
      <c r="A35" s="24"/>
      <c r="B35" s="16">
        <v>2021</v>
      </c>
      <c r="C35" s="108"/>
      <c r="D35" s="430">
        <v>2343182</v>
      </c>
      <c r="E35" s="430"/>
      <c r="F35" s="430">
        <v>7699755</v>
      </c>
      <c r="G35" s="430"/>
      <c r="H35" s="430"/>
      <c r="I35" s="444">
        <f t="shared" si="11"/>
        <v>10042937</v>
      </c>
      <c r="J35" s="108"/>
      <c r="K35" s="109"/>
      <c r="L35" s="431">
        <v>115000</v>
      </c>
      <c r="M35" s="109"/>
      <c r="N35" s="452">
        <f t="shared" si="12"/>
        <v>115000</v>
      </c>
      <c r="O35" s="111"/>
      <c r="P35" s="109">
        <f>+O35</f>
        <v>0</v>
      </c>
      <c r="Q35" s="430">
        <f t="shared" si="13"/>
        <v>10157937</v>
      </c>
      <c r="R35" s="110"/>
    </row>
    <row r="36" spans="1:18" ht="12.75" thickBot="1" x14ac:dyDescent="0.25">
      <c r="A36" s="26"/>
      <c r="B36" s="103" t="s">
        <v>419</v>
      </c>
      <c r="C36" s="116"/>
      <c r="D36" s="437">
        <f>+((D35-D34)/D34)*100</f>
        <v>-1.6520583259147892</v>
      </c>
      <c r="E36" s="437"/>
      <c r="F36" s="437">
        <f>+((F35-F34)/F34)*100</f>
        <v>128.35097178292918</v>
      </c>
      <c r="G36" s="437"/>
      <c r="H36" s="437"/>
      <c r="I36" s="437">
        <f>+((I35-I34)/I34)*100</f>
        <v>74.525070910486818</v>
      </c>
      <c r="J36" s="116"/>
      <c r="K36" s="117"/>
      <c r="L36" s="437">
        <f>+((L35-L34)/L34)*100</f>
        <v>130</v>
      </c>
      <c r="M36" s="117"/>
      <c r="N36" s="437">
        <f>+((N35-N34)/N34)*100</f>
        <v>130</v>
      </c>
      <c r="O36" s="119"/>
      <c r="P36" s="117"/>
      <c r="Q36" s="437">
        <f>+((Q35-Q34)/Q34)*100</f>
        <v>75.002937407549183</v>
      </c>
      <c r="R36" s="118"/>
    </row>
    <row r="37" spans="1:18" x14ac:dyDescent="0.2">
      <c r="A37" s="22" t="s">
        <v>262</v>
      </c>
      <c r="B37" s="55">
        <v>2019</v>
      </c>
      <c r="C37" s="107"/>
      <c r="D37" s="442"/>
      <c r="E37" s="442"/>
      <c r="F37" s="451">
        <v>228163</v>
      </c>
      <c r="G37" s="442"/>
      <c r="H37" s="442"/>
      <c r="I37" s="446">
        <f>+D37+E37+F37+G37+H37</f>
        <v>228163</v>
      </c>
      <c r="J37" s="107"/>
      <c r="K37" s="105"/>
      <c r="L37" s="162">
        <v>2842855</v>
      </c>
      <c r="M37" s="105"/>
      <c r="N37" s="446">
        <f>+J37+K37+L37+M37</f>
        <v>2842855</v>
      </c>
      <c r="O37" s="104"/>
      <c r="P37" s="105">
        <f>+O37</f>
        <v>0</v>
      </c>
      <c r="Q37" s="442">
        <f>+I37+N37+P37</f>
        <v>3071018</v>
      </c>
      <c r="R37" s="106"/>
    </row>
    <row r="38" spans="1:18" x14ac:dyDescent="0.2">
      <c r="A38" s="24"/>
      <c r="B38" s="16">
        <v>2020</v>
      </c>
      <c r="C38" s="108"/>
      <c r="D38" s="430"/>
      <c r="E38" s="430"/>
      <c r="F38" s="430">
        <v>728750</v>
      </c>
      <c r="G38" s="430"/>
      <c r="H38" s="430"/>
      <c r="I38" s="452">
        <f t="shared" ref="I38:I39" si="14">+D38+E38+F38+G38+H38</f>
        <v>728750</v>
      </c>
      <c r="J38" s="108"/>
      <c r="K38" s="109"/>
      <c r="L38" s="109"/>
      <c r="M38" s="109"/>
      <c r="N38" s="452">
        <f t="shared" ref="N38:N39" si="15">+J38+K38+L38+M38</f>
        <v>0</v>
      </c>
      <c r="O38" s="111"/>
      <c r="P38" s="109">
        <f>+O38</f>
        <v>0</v>
      </c>
      <c r="Q38" s="430">
        <f t="shared" ref="Q38:Q39" si="16">+I38+N38+P38</f>
        <v>728750</v>
      </c>
      <c r="R38" s="110"/>
    </row>
    <row r="39" spans="1:18" x14ac:dyDescent="0.2">
      <c r="A39" s="24"/>
      <c r="B39" s="16">
        <v>2021</v>
      </c>
      <c r="C39" s="108"/>
      <c r="D39" s="430"/>
      <c r="E39" s="430"/>
      <c r="F39" s="430">
        <v>34100</v>
      </c>
      <c r="G39" s="430"/>
      <c r="H39" s="430"/>
      <c r="I39" s="444">
        <f t="shared" si="14"/>
        <v>34100</v>
      </c>
      <c r="J39" s="108"/>
      <c r="K39" s="109"/>
      <c r="L39" s="109"/>
      <c r="M39" s="109"/>
      <c r="N39" s="452">
        <f t="shared" si="15"/>
        <v>0</v>
      </c>
      <c r="O39" s="111"/>
      <c r="P39" s="109">
        <f>+O39</f>
        <v>0</v>
      </c>
      <c r="Q39" s="430">
        <f t="shared" si="16"/>
        <v>34100</v>
      </c>
      <c r="R39" s="110"/>
    </row>
    <row r="40" spans="1:18" ht="12.75" thickBot="1" x14ac:dyDescent="0.25">
      <c r="A40" s="26"/>
      <c r="B40" s="103" t="s">
        <v>419</v>
      </c>
      <c r="C40" s="116"/>
      <c r="D40" s="437"/>
      <c r="E40" s="437"/>
      <c r="F40" s="437">
        <f>+((F39-F38)/F38)*100</f>
        <v>-95.320754716981142</v>
      </c>
      <c r="G40" s="437"/>
      <c r="H40" s="437"/>
      <c r="I40" s="437">
        <f>+((I39-I38)/I38)*100</f>
        <v>-95.320754716981142</v>
      </c>
      <c r="J40" s="116"/>
      <c r="K40" s="117"/>
      <c r="L40" s="117">
        <v>0</v>
      </c>
      <c r="M40" s="117"/>
      <c r="N40" s="118">
        <v>0</v>
      </c>
      <c r="O40" s="119"/>
      <c r="P40" s="117"/>
      <c r="Q40" s="437">
        <f>+((Q39-Q38)/Q38)*100</f>
        <v>-95.320754716981142</v>
      </c>
      <c r="R40" s="118"/>
    </row>
    <row r="41" spans="1:18" x14ac:dyDescent="0.2">
      <c r="A41" s="22" t="s">
        <v>263</v>
      </c>
      <c r="B41" s="55">
        <v>2019</v>
      </c>
      <c r="C41" s="107"/>
      <c r="D41" s="451">
        <v>647610</v>
      </c>
      <c r="E41" s="442">
        <v>0</v>
      </c>
      <c r="F41" s="451">
        <v>460557</v>
      </c>
      <c r="G41" s="442"/>
      <c r="H41" s="442"/>
      <c r="I41" s="446">
        <f>+D41+E41+F41+G41+H41</f>
        <v>1108167</v>
      </c>
      <c r="J41" s="107"/>
      <c r="K41" s="105"/>
      <c r="L41" s="162">
        <v>0</v>
      </c>
      <c r="M41" s="105"/>
      <c r="N41" s="446">
        <f>+J41+K41+L41+M41</f>
        <v>0</v>
      </c>
      <c r="O41" s="104"/>
      <c r="P41" s="105">
        <f>+O41</f>
        <v>0</v>
      </c>
      <c r="Q41" s="442">
        <f>+I41+N41+P41</f>
        <v>1108167</v>
      </c>
      <c r="R41" s="106"/>
    </row>
    <row r="42" spans="1:18" x14ac:dyDescent="0.2">
      <c r="A42" s="24"/>
      <c r="B42" s="16">
        <v>2020</v>
      </c>
      <c r="C42" s="108"/>
      <c r="D42" s="430">
        <v>645772</v>
      </c>
      <c r="E42" s="430"/>
      <c r="F42" s="430">
        <v>412941</v>
      </c>
      <c r="G42" s="430"/>
      <c r="H42" s="430"/>
      <c r="I42" s="452">
        <f t="shared" ref="I42:I43" si="17">+D42+E42+F42+G42+H42</f>
        <v>1058713</v>
      </c>
      <c r="J42" s="108"/>
      <c r="K42" s="109"/>
      <c r="L42" s="109"/>
      <c r="M42" s="109"/>
      <c r="N42" s="452">
        <f t="shared" ref="N42:N43" si="18">+J42+K42+L42+M42</f>
        <v>0</v>
      </c>
      <c r="O42" s="111"/>
      <c r="P42" s="109">
        <f>+O42</f>
        <v>0</v>
      </c>
      <c r="Q42" s="430">
        <f t="shared" ref="Q42:Q43" si="19">+I42+N42+P42</f>
        <v>1058713</v>
      </c>
      <c r="R42" s="110"/>
    </row>
    <row r="43" spans="1:18" x14ac:dyDescent="0.2">
      <c r="A43" s="24"/>
      <c r="B43" s="16">
        <v>2021</v>
      </c>
      <c r="C43" s="108"/>
      <c r="D43" s="430">
        <v>655772</v>
      </c>
      <c r="E43" s="430"/>
      <c r="F43" s="430">
        <v>122044</v>
      </c>
      <c r="G43" s="430"/>
      <c r="H43" s="430"/>
      <c r="I43" s="444">
        <f t="shared" si="17"/>
        <v>777816</v>
      </c>
      <c r="J43" s="108"/>
      <c r="K43" s="109"/>
      <c r="L43" s="109"/>
      <c r="M43" s="109"/>
      <c r="N43" s="452">
        <f t="shared" si="18"/>
        <v>0</v>
      </c>
      <c r="O43" s="111"/>
      <c r="P43" s="109">
        <f>+O43</f>
        <v>0</v>
      </c>
      <c r="Q43" s="430">
        <f t="shared" si="19"/>
        <v>777816</v>
      </c>
      <c r="R43" s="110"/>
    </row>
    <row r="44" spans="1:18" ht="12.75" thickBot="1" x14ac:dyDescent="0.25">
      <c r="A44" s="26"/>
      <c r="B44" s="103" t="s">
        <v>419</v>
      </c>
      <c r="C44" s="116"/>
      <c r="D44" s="437">
        <f>+((D43-D42)/D42)*100</f>
        <v>1.5485341575664475</v>
      </c>
      <c r="E44" s="437"/>
      <c r="F44" s="437">
        <f>+((F43-F42)/F42)*100</f>
        <v>-70.44517255491705</v>
      </c>
      <c r="G44" s="437"/>
      <c r="H44" s="437"/>
      <c r="I44" s="437">
        <f>+((I43-I42)/I42)*100</f>
        <v>-26.531930749882164</v>
      </c>
      <c r="J44" s="116"/>
      <c r="K44" s="117"/>
      <c r="L44" s="117"/>
      <c r="M44" s="117"/>
      <c r="N44" s="118"/>
      <c r="O44" s="119"/>
      <c r="P44" s="117"/>
      <c r="Q44" s="437">
        <f>+((Q43-Q42)/Q42)*100</f>
        <v>-26.531930749882164</v>
      </c>
      <c r="R44" s="118"/>
    </row>
    <row r="45" spans="1:18" x14ac:dyDescent="0.2">
      <c r="A45" s="22" t="s">
        <v>264</v>
      </c>
      <c r="B45" s="55">
        <v>2019</v>
      </c>
      <c r="C45" s="107"/>
      <c r="D45" s="442"/>
      <c r="E45" s="451">
        <v>40542</v>
      </c>
      <c r="F45" s="442">
        <v>154041</v>
      </c>
      <c r="G45" s="442"/>
      <c r="H45" s="442"/>
      <c r="I45" s="446">
        <f>+D45+E45+F45+G45+H45</f>
        <v>194583</v>
      </c>
      <c r="J45" s="107"/>
      <c r="K45" s="105"/>
      <c r="L45" s="162">
        <v>17400</v>
      </c>
      <c r="M45" s="105"/>
      <c r="N45" s="446">
        <f>+J45+K45+L45+M45</f>
        <v>17400</v>
      </c>
      <c r="O45" s="104"/>
      <c r="P45" s="105">
        <f>+O45</f>
        <v>0</v>
      </c>
      <c r="Q45" s="442">
        <f>+I45+N45+P45</f>
        <v>211983</v>
      </c>
      <c r="R45" s="106"/>
    </row>
    <row r="46" spans="1:18" x14ac:dyDescent="0.2">
      <c r="A46" s="24"/>
      <c r="B46" s="16">
        <v>2020</v>
      </c>
      <c r="C46" s="108"/>
      <c r="D46" s="430"/>
      <c r="E46" s="430">
        <v>40542</v>
      </c>
      <c r="F46" s="430">
        <v>430010</v>
      </c>
      <c r="G46" s="430"/>
      <c r="H46" s="430"/>
      <c r="I46" s="452">
        <f t="shared" ref="I46:I47" si="20">+D46+E46+F46+G46+H46</f>
        <v>470552</v>
      </c>
      <c r="J46" s="108"/>
      <c r="K46" s="109"/>
      <c r="L46" s="431">
        <v>13119</v>
      </c>
      <c r="M46" s="109"/>
      <c r="N46" s="452">
        <f t="shared" ref="N46:N47" si="21">+J46+K46+L46+M46</f>
        <v>13119</v>
      </c>
      <c r="O46" s="111"/>
      <c r="P46" s="109">
        <f>+O46</f>
        <v>0</v>
      </c>
      <c r="Q46" s="430">
        <f t="shared" ref="Q46:Q47" si="22">+I46+N46+P46</f>
        <v>483671</v>
      </c>
      <c r="R46" s="110"/>
    </row>
    <row r="47" spans="1:18" x14ac:dyDescent="0.2">
      <c r="A47" s="24"/>
      <c r="B47" s="16">
        <v>2021</v>
      </c>
      <c r="C47" s="108"/>
      <c r="D47" s="430"/>
      <c r="E47" s="430"/>
      <c r="F47" s="430">
        <v>1061400</v>
      </c>
      <c r="G47" s="430"/>
      <c r="H47" s="430"/>
      <c r="I47" s="444">
        <f t="shared" si="20"/>
        <v>1061400</v>
      </c>
      <c r="J47" s="108"/>
      <c r="K47" s="109"/>
      <c r="L47" s="109"/>
      <c r="M47" s="109"/>
      <c r="N47" s="452">
        <f t="shared" si="21"/>
        <v>0</v>
      </c>
      <c r="O47" s="111"/>
      <c r="P47" s="109">
        <f>+O47</f>
        <v>0</v>
      </c>
      <c r="Q47" s="430">
        <f t="shared" si="22"/>
        <v>1061400</v>
      </c>
      <c r="R47" s="110"/>
    </row>
    <row r="48" spans="1:18" ht="12.75" thickBot="1" x14ac:dyDescent="0.25">
      <c r="A48" s="26"/>
      <c r="B48" s="103" t="s">
        <v>419</v>
      </c>
      <c r="C48" s="116"/>
      <c r="D48" s="437"/>
      <c r="E48" s="437">
        <f>+((E47-E46)/E46)*100</f>
        <v>-100</v>
      </c>
      <c r="F48" s="437">
        <f>+((F47-F46)/F46)*100</f>
        <v>146.83146903560382</v>
      </c>
      <c r="G48" s="437"/>
      <c r="H48" s="437"/>
      <c r="I48" s="437">
        <f>+((I47-I46)/I46)*100</f>
        <v>125.56486849487412</v>
      </c>
      <c r="J48" s="116"/>
      <c r="K48" s="117"/>
      <c r="L48" s="437">
        <f>+((L47-L46)/L46)*100</f>
        <v>-100</v>
      </c>
      <c r="M48" s="117"/>
      <c r="N48" s="437">
        <f>+((N47-N46)/N46)*100</f>
        <v>-100</v>
      </c>
      <c r="O48" s="119"/>
      <c r="P48" s="117"/>
      <c r="Q48" s="437">
        <f>+((Q47-Q46)/Q46)*100</f>
        <v>119.4466900020882</v>
      </c>
      <c r="R48" s="124"/>
    </row>
    <row r="49" spans="1:18" x14ac:dyDescent="0.2">
      <c r="A49" s="22" t="s">
        <v>265</v>
      </c>
      <c r="B49" s="55">
        <v>2019</v>
      </c>
      <c r="C49" s="107"/>
      <c r="D49" s="442"/>
      <c r="E49" s="442"/>
      <c r="F49" s="451">
        <v>14933</v>
      </c>
      <c r="G49" s="442"/>
      <c r="H49" s="442"/>
      <c r="I49" s="446">
        <f>+D49+E49+F49+G49+H49</f>
        <v>14933</v>
      </c>
      <c r="J49" s="107"/>
      <c r="K49" s="105"/>
      <c r="L49" s="105"/>
      <c r="M49" s="105"/>
      <c r="N49" s="446">
        <f>+J49+K49+L49+M49</f>
        <v>0</v>
      </c>
      <c r="O49" s="104"/>
      <c r="P49" s="105">
        <f>+O49</f>
        <v>0</v>
      </c>
      <c r="Q49" s="442">
        <f>+I49+N49+P49</f>
        <v>14933</v>
      </c>
      <c r="R49" s="106"/>
    </row>
    <row r="50" spans="1:18" x14ac:dyDescent="0.2">
      <c r="A50" s="24"/>
      <c r="B50" s="16">
        <v>2020</v>
      </c>
      <c r="C50" s="108"/>
      <c r="D50" s="430"/>
      <c r="E50" s="430"/>
      <c r="F50" s="430">
        <v>11730</v>
      </c>
      <c r="G50" s="430"/>
      <c r="H50" s="430"/>
      <c r="I50" s="452">
        <f t="shared" ref="I50:I51" si="23">+D50+E50+F50+G50+H50</f>
        <v>11730</v>
      </c>
      <c r="J50" s="108"/>
      <c r="K50" s="109"/>
      <c r="L50" s="109"/>
      <c r="M50" s="109"/>
      <c r="N50" s="452">
        <f t="shared" ref="N50:N51" si="24">+J50+K50+L50+M50</f>
        <v>0</v>
      </c>
      <c r="O50" s="111"/>
      <c r="P50" s="109">
        <f>+O50</f>
        <v>0</v>
      </c>
      <c r="Q50" s="430">
        <f t="shared" ref="Q50:Q51" si="25">+I50+N50+P50</f>
        <v>11730</v>
      </c>
      <c r="R50" s="110"/>
    </row>
    <row r="51" spans="1:18" x14ac:dyDescent="0.2">
      <c r="A51" s="24"/>
      <c r="B51" s="16">
        <v>2021</v>
      </c>
      <c r="C51" s="108"/>
      <c r="D51" s="430"/>
      <c r="E51" s="430"/>
      <c r="F51" s="430">
        <v>11730</v>
      </c>
      <c r="G51" s="430"/>
      <c r="H51" s="430"/>
      <c r="I51" s="444">
        <f t="shared" si="23"/>
        <v>11730</v>
      </c>
      <c r="J51" s="108"/>
      <c r="K51" s="109"/>
      <c r="L51" s="109"/>
      <c r="M51" s="109"/>
      <c r="N51" s="452">
        <f t="shared" si="24"/>
        <v>0</v>
      </c>
      <c r="O51" s="111"/>
      <c r="P51" s="109">
        <f>+O51</f>
        <v>0</v>
      </c>
      <c r="Q51" s="430">
        <f t="shared" si="25"/>
        <v>11730</v>
      </c>
      <c r="R51" s="110"/>
    </row>
    <row r="52" spans="1:18" ht="12.75" thickBot="1" x14ac:dyDescent="0.25">
      <c r="A52" s="26"/>
      <c r="B52" s="103" t="s">
        <v>419</v>
      </c>
      <c r="C52" s="116"/>
      <c r="D52" s="437"/>
      <c r="E52" s="437"/>
      <c r="F52" s="437">
        <f>+((F51-F50)/F50)*100</f>
        <v>0</v>
      </c>
      <c r="G52" s="437"/>
      <c r="H52" s="437"/>
      <c r="I52" s="437">
        <f>+((I51-I50)/I50)*100</f>
        <v>0</v>
      </c>
      <c r="J52" s="116"/>
      <c r="K52" s="117"/>
      <c r="L52" s="117"/>
      <c r="M52" s="117"/>
      <c r="N52" s="118"/>
      <c r="O52" s="119"/>
      <c r="P52" s="117"/>
      <c r="Q52" s="437">
        <f>+((Q51-Q50)/Q50)*100</f>
        <v>0</v>
      </c>
      <c r="R52" s="118"/>
    </row>
    <row r="53" spans="1:18" x14ac:dyDescent="0.2">
      <c r="A53" s="22" t="s">
        <v>266</v>
      </c>
      <c r="B53" s="55">
        <v>2019</v>
      </c>
      <c r="C53" s="107"/>
      <c r="D53" s="442"/>
      <c r="E53" s="442"/>
      <c r="F53" s="442">
        <v>0</v>
      </c>
      <c r="G53" s="442"/>
      <c r="H53" s="442"/>
      <c r="I53" s="446">
        <f>+D53+E53+F53+G53+H53</f>
        <v>0</v>
      </c>
      <c r="J53" s="107"/>
      <c r="K53" s="105"/>
      <c r="L53" s="105">
        <v>0</v>
      </c>
      <c r="M53" s="105"/>
      <c r="N53" s="446">
        <f>+J53+K53+L53+M53</f>
        <v>0</v>
      </c>
      <c r="O53" s="104"/>
      <c r="P53" s="105">
        <f>+O53</f>
        <v>0</v>
      </c>
      <c r="Q53" s="442">
        <f>+I53+N53+P53</f>
        <v>0</v>
      </c>
      <c r="R53" s="106"/>
    </row>
    <row r="54" spans="1:18" x14ac:dyDescent="0.2">
      <c r="A54" s="24"/>
      <c r="B54" s="16">
        <v>2020</v>
      </c>
      <c r="C54" s="108"/>
      <c r="D54" s="430"/>
      <c r="E54" s="430"/>
      <c r="F54" s="430">
        <v>35000</v>
      </c>
      <c r="G54" s="430"/>
      <c r="H54" s="430"/>
      <c r="I54" s="452">
        <f t="shared" ref="I54:I55" si="26">+D54+E54+F54+G54+H54</f>
        <v>35000</v>
      </c>
      <c r="J54" s="108"/>
      <c r="K54" s="109"/>
      <c r="L54" s="109"/>
      <c r="M54" s="109"/>
      <c r="N54" s="452">
        <f t="shared" ref="N54:N55" si="27">+J54+K54+L54+M54</f>
        <v>0</v>
      </c>
      <c r="O54" s="111"/>
      <c r="P54" s="109">
        <f>+O54</f>
        <v>0</v>
      </c>
      <c r="Q54" s="430">
        <f t="shared" ref="Q54:Q55" si="28">+I54+N54+P54</f>
        <v>35000</v>
      </c>
      <c r="R54" s="110"/>
    </row>
    <row r="55" spans="1:18" x14ac:dyDescent="0.2">
      <c r="A55" s="24"/>
      <c r="B55" s="16">
        <v>2021</v>
      </c>
      <c r="C55" s="108"/>
      <c r="D55" s="430"/>
      <c r="E55" s="430"/>
      <c r="F55" s="430">
        <v>34000</v>
      </c>
      <c r="G55" s="430"/>
      <c r="H55" s="430"/>
      <c r="I55" s="444">
        <f t="shared" si="26"/>
        <v>34000</v>
      </c>
      <c r="J55" s="108"/>
      <c r="K55" s="109"/>
      <c r="L55" s="109"/>
      <c r="M55" s="109"/>
      <c r="N55" s="452">
        <f t="shared" si="27"/>
        <v>0</v>
      </c>
      <c r="O55" s="111"/>
      <c r="P55" s="109">
        <f>+O55</f>
        <v>0</v>
      </c>
      <c r="Q55" s="430">
        <f t="shared" si="28"/>
        <v>34000</v>
      </c>
      <c r="R55" s="110"/>
    </row>
    <row r="56" spans="1:18" ht="12.75" thickBot="1" x14ac:dyDescent="0.25">
      <c r="A56" s="26"/>
      <c r="B56" s="103" t="s">
        <v>419</v>
      </c>
      <c r="C56" s="116"/>
      <c r="D56" s="437"/>
      <c r="E56" s="437"/>
      <c r="F56" s="437">
        <f>+((F55-F54)/F54)*100</f>
        <v>-2.8571428571428572</v>
      </c>
      <c r="G56" s="437"/>
      <c r="H56" s="437"/>
      <c r="I56" s="437">
        <f>+((I55-I54)/I54)*100</f>
        <v>-2.8571428571428572</v>
      </c>
      <c r="J56" s="116"/>
      <c r="K56" s="117"/>
      <c r="L56" s="117"/>
      <c r="M56" s="117"/>
      <c r="N56" s="118"/>
      <c r="O56" s="119"/>
      <c r="P56" s="117"/>
      <c r="Q56" s="437">
        <f>+((Q55-Q54)/Q54)*100</f>
        <v>-2.8571428571428572</v>
      </c>
      <c r="R56" s="118"/>
    </row>
    <row r="57" spans="1:18" x14ac:dyDescent="0.2">
      <c r="A57" s="22" t="s">
        <v>267</v>
      </c>
      <c r="B57" s="55">
        <v>2019</v>
      </c>
      <c r="C57" s="107"/>
      <c r="D57" s="442"/>
      <c r="E57" s="442"/>
      <c r="F57" s="442">
        <v>0</v>
      </c>
      <c r="G57" s="442"/>
      <c r="H57" s="442"/>
      <c r="I57" s="446">
        <f>+D57+E57+F57+G57+H57</f>
        <v>0</v>
      </c>
      <c r="J57" s="107"/>
      <c r="K57" s="105"/>
      <c r="L57" s="105"/>
      <c r="M57" s="105"/>
      <c r="N57" s="446">
        <f>+J57+K57+L57+M57</f>
        <v>0</v>
      </c>
      <c r="O57" s="104"/>
      <c r="P57" s="105">
        <f>+O57</f>
        <v>0</v>
      </c>
      <c r="Q57" s="442">
        <f>+I57+N57+P57</f>
        <v>0</v>
      </c>
      <c r="R57" s="106"/>
    </row>
    <row r="58" spans="1:18" x14ac:dyDescent="0.2">
      <c r="A58" s="24"/>
      <c r="B58" s="16">
        <v>2020</v>
      </c>
      <c r="C58" s="108"/>
      <c r="D58" s="430"/>
      <c r="E58" s="430"/>
      <c r="F58" s="430">
        <v>503607</v>
      </c>
      <c r="G58" s="430"/>
      <c r="H58" s="430"/>
      <c r="I58" s="452">
        <f t="shared" ref="I58:I59" si="29">+D58+E58+F58+G58+H58</f>
        <v>503607</v>
      </c>
      <c r="J58" s="108"/>
      <c r="K58" s="109"/>
      <c r="L58" s="109"/>
      <c r="M58" s="109"/>
      <c r="N58" s="452">
        <f t="shared" ref="N58:N59" si="30">+J58+K58+L58+M58</f>
        <v>0</v>
      </c>
      <c r="O58" s="111"/>
      <c r="P58" s="109">
        <f>+O58</f>
        <v>0</v>
      </c>
      <c r="Q58" s="430">
        <f t="shared" ref="Q58:Q59" si="31">+I58+N58+P58</f>
        <v>503607</v>
      </c>
      <c r="R58" s="110"/>
    </row>
    <row r="59" spans="1:18" x14ac:dyDescent="0.2">
      <c r="A59" s="24"/>
      <c r="B59" s="16">
        <v>2021</v>
      </c>
      <c r="C59" s="108"/>
      <c r="D59" s="430"/>
      <c r="E59" s="430"/>
      <c r="F59" s="430">
        <v>250620</v>
      </c>
      <c r="G59" s="430"/>
      <c r="H59" s="430"/>
      <c r="I59" s="444">
        <f t="shared" si="29"/>
        <v>250620</v>
      </c>
      <c r="J59" s="108"/>
      <c r="K59" s="109"/>
      <c r="L59" s="109"/>
      <c r="M59" s="109"/>
      <c r="N59" s="452">
        <f t="shared" si="30"/>
        <v>0</v>
      </c>
      <c r="O59" s="111"/>
      <c r="P59" s="109">
        <f>+O59</f>
        <v>0</v>
      </c>
      <c r="Q59" s="430">
        <f t="shared" si="31"/>
        <v>250620</v>
      </c>
      <c r="R59" s="110"/>
    </row>
    <row r="60" spans="1:18" ht="12.75" thickBot="1" x14ac:dyDescent="0.25">
      <c r="A60" s="26"/>
      <c r="B60" s="103" t="s">
        <v>419</v>
      </c>
      <c r="C60" s="116"/>
      <c r="D60" s="437"/>
      <c r="E60" s="437"/>
      <c r="F60" s="437">
        <f>+((F59-F58)/F58)*100</f>
        <v>-50.235004676265426</v>
      </c>
      <c r="G60" s="437"/>
      <c r="H60" s="437"/>
      <c r="I60" s="437">
        <f>+((I59-I58)/I58)*100</f>
        <v>-50.235004676265426</v>
      </c>
      <c r="J60" s="116"/>
      <c r="K60" s="117"/>
      <c r="L60" s="117"/>
      <c r="M60" s="117"/>
      <c r="N60" s="118"/>
      <c r="O60" s="119"/>
      <c r="P60" s="117"/>
      <c r="Q60" s="437">
        <f>+((Q59-Q58)/Q58)*100</f>
        <v>-50.235004676265426</v>
      </c>
      <c r="R60" s="118"/>
    </row>
    <row r="61" spans="1:18" x14ac:dyDescent="0.2">
      <c r="A61" s="22" t="s">
        <v>268</v>
      </c>
      <c r="B61" s="55">
        <v>2019</v>
      </c>
      <c r="C61" s="107"/>
      <c r="D61" s="451">
        <v>1103038</v>
      </c>
      <c r="E61" s="442"/>
      <c r="F61" s="451">
        <v>6614699</v>
      </c>
      <c r="G61" s="442"/>
      <c r="H61" s="442">
        <v>0</v>
      </c>
      <c r="I61" s="446">
        <f>+D61+E61+F61+G61+H61</f>
        <v>7717737</v>
      </c>
      <c r="J61" s="107"/>
      <c r="K61" s="105"/>
      <c r="L61" s="451">
        <v>36065288</v>
      </c>
      <c r="M61" s="105"/>
      <c r="N61" s="446">
        <f>+J61+K61+L61+M61</f>
        <v>36065288</v>
      </c>
      <c r="O61" s="104"/>
      <c r="P61" s="105">
        <f>+O61</f>
        <v>0</v>
      </c>
      <c r="Q61" s="442">
        <f>+I61+N61+P61</f>
        <v>43783025</v>
      </c>
      <c r="R61" s="106"/>
    </row>
    <row r="62" spans="1:18" x14ac:dyDescent="0.2">
      <c r="A62" s="24"/>
      <c r="B62" s="16">
        <v>2020</v>
      </c>
      <c r="C62" s="108"/>
      <c r="D62" s="430">
        <v>1062743</v>
      </c>
      <c r="E62" s="430"/>
      <c r="F62" s="430">
        <v>1820026</v>
      </c>
      <c r="G62" s="430"/>
      <c r="H62" s="430"/>
      <c r="I62" s="452">
        <f t="shared" ref="I62:I63" si="32">+D62+E62+F62+G62+H62</f>
        <v>2882769</v>
      </c>
      <c r="J62" s="108"/>
      <c r="K62" s="109"/>
      <c r="L62" s="430">
        <v>26454424</v>
      </c>
      <c r="M62" s="109"/>
      <c r="N62" s="452">
        <f t="shared" ref="N62:N63" si="33">+J62+K62+L62+M62</f>
        <v>26454424</v>
      </c>
      <c r="O62" s="111"/>
      <c r="P62" s="109">
        <f>+O62</f>
        <v>0</v>
      </c>
      <c r="Q62" s="430">
        <f t="shared" ref="Q62:Q63" si="34">+I62+N62+P62</f>
        <v>29337193</v>
      </c>
      <c r="R62" s="110"/>
    </row>
    <row r="63" spans="1:18" x14ac:dyDescent="0.2">
      <c r="A63" s="24"/>
      <c r="B63" s="16">
        <v>2021</v>
      </c>
      <c r="C63" s="108"/>
      <c r="D63" s="430">
        <v>1037440</v>
      </c>
      <c r="E63" s="430"/>
      <c r="F63" s="430">
        <v>3529676</v>
      </c>
      <c r="G63" s="430"/>
      <c r="H63" s="430"/>
      <c r="I63" s="444">
        <f t="shared" si="32"/>
        <v>4567116</v>
      </c>
      <c r="J63" s="108"/>
      <c r="K63" s="109"/>
      <c r="L63" s="430">
        <v>32262357</v>
      </c>
      <c r="M63" s="109"/>
      <c r="N63" s="452">
        <f t="shared" si="33"/>
        <v>32262357</v>
      </c>
      <c r="O63" s="111"/>
      <c r="P63" s="109">
        <f>+O63</f>
        <v>0</v>
      </c>
      <c r="Q63" s="430">
        <f t="shared" si="34"/>
        <v>36829473</v>
      </c>
      <c r="R63" s="110"/>
    </row>
    <row r="64" spans="1:18" ht="12.75" thickBot="1" x14ac:dyDescent="0.25">
      <c r="A64" s="26"/>
      <c r="B64" s="103" t="s">
        <v>419</v>
      </c>
      <c r="C64" s="116"/>
      <c r="D64" s="437">
        <f>+((D63-D62)/D62)*100</f>
        <v>-2.3809142944248984</v>
      </c>
      <c r="E64" s="437"/>
      <c r="F64" s="437">
        <f>+((F63-F62)/F62)*100</f>
        <v>93.935471251509597</v>
      </c>
      <c r="G64" s="437"/>
      <c r="H64" s="437"/>
      <c r="I64" s="437">
        <f>+((I63-I62)/I62)*100</f>
        <v>58.428094654826658</v>
      </c>
      <c r="J64" s="116"/>
      <c r="K64" s="117"/>
      <c r="L64" s="437">
        <f>+((L63-L62)/L62)*100</f>
        <v>21.954486705134837</v>
      </c>
      <c r="M64" s="117"/>
      <c r="N64" s="437">
        <f>+((N63-N62)/N62)*100</f>
        <v>21.954486705134837</v>
      </c>
      <c r="O64" s="119"/>
      <c r="P64" s="117"/>
      <c r="Q64" s="437">
        <f>+((Q63-Q62)/Q62)*100</f>
        <v>25.538503291708924</v>
      </c>
      <c r="R64" s="118"/>
    </row>
    <row r="65" spans="1:18" x14ac:dyDescent="0.2">
      <c r="A65" s="22" t="s">
        <v>269</v>
      </c>
      <c r="B65" s="55">
        <v>2019</v>
      </c>
      <c r="C65" s="107"/>
      <c r="D65" s="442"/>
      <c r="E65" s="442"/>
      <c r="F65" s="442">
        <v>0</v>
      </c>
      <c r="G65" s="442"/>
      <c r="H65" s="442"/>
      <c r="I65" s="106"/>
      <c r="J65" s="107"/>
      <c r="K65" s="105"/>
      <c r="L65" s="105">
        <v>0</v>
      </c>
      <c r="M65" s="105"/>
      <c r="N65" s="106"/>
      <c r="O65" s="104"/>
      <c r="P65" s="105"/>
      <c r="Q65" s="442">
        <f>+I65+N65+P65</f>
        <v>0</v>
      </c>
      <c r="R65" s="106"/>
    </row>
    <row r="66" spans="1:18" x14ac:dyDescent="0.2">
      <c r="A66" s="24"/>
      <c r="B66" s="16">
        <v>2020</v>
      </c>
      <c r="C66" s="108"/>
      <c r="D66" s="430"/>
      <c r="E66" s="430"/>
      <c r="F66" s="430"/>
      <c r="G66" s="430"/>
      <c r="H66" s="430"/>
      <c r="I66" s="110"/>
      <c r="J66" s="108"/>
      <c r="K66" s="109"/>
      <c r="L66" s="109"/>
      <c r="M66" s="109"/>
      <c r="N66" s="110"/>
      <c r="O66" s="111"/>
      <c r="P66" s="109"/>
      <c r="Q66" s="430">
        <f t="shared" ref="Q66:Q67" si="35">+I66+N66+P66</f>
        <v>0</v>
      </c>
      <c r="R66" s="110"/>
    </row>
    <row r="67" spans="1:18" x14ac:dyDescent="0.2">
      <c r="A67" s="24"/>
      <c r="B67" s="16">
        <v>2021</v>
      </c>
      <c r="C67" s="108"/>
      <c r="D67" s="430"/>
      <c r="E67" s="430"/>
      <c r="F67" s="430"/>
      <c r="G67" s="430"/>
      <c r="H67" s="430"/>
      <c r="I67" s="110"/>
      <c r="J67" s="108"/>
      <c r="K67" s="109"/>
      <c r="L67" s="109"/>
      <c r="M67" s="109"/>
      <c r="N67" s="110"/>
      <c r="O67" s="111"/>
      <c r="P67" s="109"/>
      <c r="Q67" s="430">
        <f t="shared" si="35"/>
        <v>0</v>
      </c>
      <c r="R67" s="110"/>
    </row>
    <row r="68" spans="1:18" ht="12.75" thickBot="1" x14ac:dyDescent="0.25">
      <c r="A68" s="26"/>
      <c r="B68" s="103" t="s">
        <v>419</v>
      </c>
      <c r="C68" s="116"/>
      <c r="D68" s="437"/>
      <c r="E68" s="437"/>
      <c r="F68" s="437"/>
      <c r="G68" s="437"/>
      <c r="H68" s="437"/>
      <c r="I68" s="118"/>
      <c r="J68" s="116"/>
      <c r="K68" s="117"/>
      <c r="L68" s="117"/>
      <c r="M68" s="117"/>
      <c r="N68" s="118"/>
      <c r="O68" s="119"/>
      <c r="P68" s="117"/>
      <c r="Q68" s="117"/>
      <c r="R68" s="118"/>
    </row>
    <row r="69" spans="1:18" x14ac:dyDescent="0.2">
      <c r="A69" s="22" t="s">
        <v>270</v>
      </c>
      <c r="B69" s="55">
        <v>2019</v>
      </c>
      <c r="C69" s="107"/>
      <c r="D69" s="451">
        <v>1297209</v>
      </c>
      <c r="E69" s="442"/>
      <c r="F69" s="451">
        <v>4200</v>
      </c>
      <c r="G69" s="442"/>
      <c r="H69" s="442">
        <v>0</v>
      </c>
      <c r="I69" s="446">
        <f>+D69+E69+F69+G69+H69</f>
        <v>1301409</v>
      </c>
      <c r="J69" s="107"/>
      <c r="K69" s="105"/>
      <c r="L69" s="105">
        <v>0</v>
      </c>
      <c r="M69" s="105"/>
      <c r="N69" s="446">
        <f>+J69+K69+L69+M69</f>
        <v>0</v>
      </c>
      <c r="O69" s="104"/>
      <c r="P69" s="105">
        <f>+O69</f>
        <v>0</v>
      </c>
      <c r="Q69" s="442">
        <f>+I69+N69+P69</f>
        <v>1301409</v>
      </c>
      <c r="R69" s="106"/>
    </row>
    <row r="70" spans="1:18" x14ac:dyDescent="0.2">
      <c r="A70" s="24"/>
      <c r="B70" s="16">
        <v>2020</v>
      </c>
      <c r="C70" s="108"/>
      <c r="D70" s="430">
        <v>1234020</v>
      </c>
      <c r="E70" s="430"/>
      <c r="F70" s="430">
        <v>1011195</v>
      </c>
      <c r="G70" s="430"/>
      <c r="H70" s="430"/>
      <c r="I70" s="452">
        <f t="shared" ref="I70:I71" si="36">+D70+E70+F70+G70+H70</f>
        <v>2245215</v>
      </c>
      <c r="J70" s="108"/>
      <c r="K70" s="109"/>
      <c r="L70" s="109"/>
      <c r="M70" s="109"/>
      <c r="N70" s="452">
        <f t="shared" ref="N70:N71" si="37">+J70+K70+L70+M70</f>
        <v>0</v>
      </c>
      <c r="O70" s="111"/>
      <c r="P70" s="109">
        <f>+O70</f>
        <v>0</v>
      </c>
      <c r="Q70" s="430">
        <f t="shared" ref="Q70:Q71" si="38">+I70+N70+P70</f>
        <v>2245215</v>
      </c>
      <c r="R70" s="110"/>
    </row>
    <row r="71" spans="1:18" x14ac:dyDescent="0.2">
      <c r="A71" s="24"/>
      <c r="B71" s="16">
        <v>2021</v>
      </c>
      <c r="C71" s="108"/>
      <c r="D71" s="430">
        <v>1168350</v>
      </c>
      <c r="E71" s="430"/>
      <c r="F71" s="430">
        <v>1663317</v>
      </c>
      <c r="G71" s="430"/>
      <c r="H71" s="430"/>
      <c r="I71" s="444">
        <f t="shared" si="36"/>
        <v>2831667</v>
      </c>
      <c r="J71" s="108"/>
      <c r="K71" s="109"/>
      <c r="L71" s="109">
        <v>13500</v>
      </c>
      <c r="M71" s="109"/>
      <c r="N71" s="452">
        <f t="shared" si="37"/>
        <v>13500</v>
      </c>
      <c r="O71" s="111"/>
      <c r="P71" s="109">
        <f>+O71</f>
        <v>0</v>
      </c>
      <c r="Q71" s="430">
        <f t="shared" si="38"/>
        <v>2845167</v>
      </c>
      <c r="R71" s="110"/>
    </row>
    <row r="72" spans="1:18" ht="12.75" thickBot="1" x14ac:dyDescent="0.25">
      <c r="A72" s="26"/>
      <c r="B72" s="103" t="s">
        <v>419</v>
      </c>
      <c r="C72" s="116"/>
      <c r="D72" s="437">
        <f>+((D71-D70)/D70)*100</f>
        <v>-5.3216317401662856</v>
      </c>
      <c r="E72" s="437"/>
      <c r="F72" s="437">
        <f>+((F71-F70)/F70)*100</f>
        <v>64.490231854390103</v>
      </c>
      <c r="G72" s="437"/>
      <c r="H72" s="437"/>
      <c r="I72" s="437">
        <f>+((I71-I70)/I70)*100</f>
        <v>26.120082041140826</v>
      </c>
      <c r="J72" s="116"/>
      <c r="K72" s="117"/>
      <c r="L72" s="437"/>
      <c r="M72" s="117"/>
      <c r="N72" s="437"/>
      <c r="O72" s="119"/>
      <c r="P72" s="117"/>
      <c r="Q72" s="437">
        <f>+((Q71-Q70)/Q70)*100</f>
        <v>26.721360760550773</v>
      </c>
      <c r="R72" s="118"/>
    </row>
    <row r="73" spans="1:18" x14ac:dyDescent="0.2">
      <c r="A73" s="22" t="s">
        <v>271</v>
      </c>
      <c r="B73" s="55">
        <v>2019</v>
      </c>
      <c r="C73" s="107"/>
      <c r="D73" s="442"/>
      <c r="E73" s="442"/>
      <c r="F73" s="442"/>
      <c r="G73" s="442"/>
      <c r="H73" s="442"/>
      <c r="I73" s="446">
        <f>+D73+E73+F73+G73+H73</f>
        <v>0</v>
      </c>
      <c r="J73" s="107"/>
      <c r="K73" s="105"/>
      <c r="L73" s="162">
        <v>1586027</v>
      </c>
      <c r="M73" s="105"/>
      <c r="N73" s="446">
        <f>+J73+K73+L73+M73</f>
        <v>1586027</v>
      </c>
      <c r="O73" s="104"/>
      <c r="P73" s="105">
        <f>+O73</f>
        <v>0</v>
      </c>
      <c r="Q73" s="442">
        <f>+I73+N73+P73</f>
        <v>1586027</v>
      </c>
      <c r="R73" s="106"/>
    </row>
    <row r="74" spans="1:18" x14ac:dyDescent="0.2">
      <c r="A74" s="24"/>
      <c r="B74" s="16">
        <v>2020</v>
      </c>
      <c r="C74" s="108"/>
      <c r="D74" s="430"/>
      <c r="E74" s="430"/>
      <c r="F74" s="430">
        <v>2000</v>
      </c>
      <c r="G74" s="430"/>
      <c r="H74" s="430"/>
      <c r="I74" s="452">
        <f t="shared" ref="I74:I75" si="39">+D74+E74+F74+G74+H74</f>
        <v>2000</v>
      </c>
      <c r="J74" s="108"/>
      <c r="K74" s="109"/>
      <c r="L74" s="431">
        <v>14486</v>
      </c>
      <c r="M74" s="109"/>
      <c r="N74" s="452">
        <f t="shared" ref="N74:N75" si="40">+J74+K74+L74+M74</f>
        <v>14486</v>
      </c>
      <c r="O74" s="111"/>
      <c r="P74" s="109">
        <f>+O74</f>
        <v>0</v>
      </c>
      <c r="Q74" s="430">
        <f t="shared" ref="Q74:Q75" si="41">+I74+N74+P74</f>
        <v>16486</v>
      </c>
      <c r="R74" s="110"/>
    </row>
    <row r="75" spans="1:18" x14ac:dyDescent="0.2">
      <c r="A75" s="24"/>
      <c r="B75" s="16">
        <v>2021</v>
      </c>
      <c r="C75" s="108"/>
      <c r="D75" s="430"/>
      <c r="E75" s="430"/>
      <c r="F75" s="451">
        <v>1500</v>
      </c>
      <c r="G75" s="430"/>
      <c r="H75" s="430"/>
      <c r="I75" s="444">
        <f t="shared" si="39"/>
        <v>1500</v>
      </c>
      <c r="J75" s="108"/>
      <c r="K75" s="109"/>
      <c r="L75" s="162">
        <v>12607167</v>
      </c>
      <c r="M75" s="109"/>
      <c r="N75" s="452">
        <f t="shared" si="40"/>
        <v>12607167</v>
      </c>
      <c r="O75" s="111"/>
      <c r="P75" s="109">
        <f>+O75</f>
        <v>0</v>
      </c>
      <c r="Q75" s="430">
        <f t="shared" si="41"/>
        <v>12608667</v>
      </c>
      <c r="R75" s="110"/>
    </row>
    <row r="76" spans="1:18" ht="12.75" thickBot="1" x14ac:dyDescent="0.25">
      <c r="A76" s="26"/>
      <c r="B76" s="103" t="s">
        <v>419</v>
      </c>
      <c r="C76" s="116"/>
      <c r="D76" s="437"/>
      <c r="E76" s="437"/>
      <c r="F76" s="437">
        <f>+((F75-F74)/F74)*100</f>
        <v>-25</v>
      </c>
      <c r="G76" s="437"/>
      <c r="H76" s="437"/>
      <c r="I76" s="437">
        <f>+((I75-I74)/I74)*100</f>
        <v>-25</v>
      </c>
      <c r="J76" s="116"/>
      <c r="K76" s="117"/>
      <c r="L76" s="437">
        <f>+((L75-L74)/L74)*100</f>
        <v>86930.008283860268</v>
      </c>
      <c r="M76" s="117"/>
      <c r="N76" s="437">
        <f>+((N75-N74)/N74)*100</f>
        <v>86930.008283860268</v>
      </c>
      <c r="O76" s="119"/>
      <c r="P76" s="117"/>
      <c r="Q76" s="437">
        <f>+((Q75-Q74)/Q74)*100</f>
        <v>76381.056654130778</v>
      </c>
      <c r="R76" s="118"/>
    </row>
    <row r="77" spans="1:18" x14ac:dyDescent="0.2">
      <c r="A77" s="22" t="s">
        <v>272</v>
      </c>
      <c r="B77" s="55">
        <v>2019</v>
      </c>
      <c r="C77" s="107"/>
      <c r="D77" s="442"/>
      <c r="E77" s="442"/>
      <c r="F77" s="451">
        <v>1325583</v>
      </c>
      <c r="G77" s="442"/>
      <c r="H77" s="442"/>
      <c r="I77" s="446">
        <f>+D77+E77+F77+G77+H77</f>
        <v>1325583</v>
      </c>
      <c r="J77" s="107"/>
      <c r="K77" s="105"/>
      <c r="L77" s="162">
        <v>10000</v>
      </c>
      <c r="M77" s="105"/>
      <c r="N77" s="446">
        <f>+J77+K77+L77+M77</f>
        <v>10000</v>
      </c>
      <c r="O77" s="104"/>
      <c r="P77" s="105">
        <f>+O77</f>
        <v>0</v>
      </c>
      <c r="Q77" s="442">
        <f>+I77+N77+P77</f>
        <v>1335583</v>
      </c>
      <c r="R77" s="106"/>
    </row>
    <row r="78" spans="1:18" x14ac:dyDescent="0.2">
      <c r="A78" s="24"/>
      <c r="B78" s="16">
        <v>2020</v>
      </c>
      <c r="C78" s="108"/>
      <c r="D78" s="430"/>
      <c r="E78" s="430"/>
      <c r="F78" s="430">
        <v>936188</v>
      </c>
      <c r="G78" s="430"/>
      <c r="H78" s="430"/>
      <c r="I78" s="452">
        <f t="shared" ref="I78:I79" si="42">+D78+E78+F78+G78+H78</f>
        <v>936188</v>
      </c>
      <c r="J78" s="108"/>
      <c r="K78" s="109"/>
      <c r="L78" s="431">
        <v>10000</v>
      </c>
      <c r="M78" s="109"/>
      <c r="N78" s="452">
        <f t="shared" ref="N78:N79" si="43">+J78+K78+L78+M78</f>
        <v>10000</v>
      </c>
      <c r="O78" s="111"/>
      <c r="P78" s="109">
        <f>+O78</f>
        <v>0</v>
      </c>
      <c r="Q78" s="430">
        <f t="shared" ref="Q78:Q79" si="44">+I78+N78+P78</f>
        <v>946188</v>
      </c>
      <c r="R78" s="110"/>
    </row>
    <row r="79" spans="1:18" x14ac:dyDescent="0.2">
      <c r="A79" s="24"/>
      <c r="B79" s="16">
        <v>2021</v>
      </c>
      <c r="C79" s="108"/>
      <c r="D79" s="430"/>
      <c r="E79" s="430"/>
      <c r="F79" s="451">
        <v>592840</v>
      </c>
      <c r="G79" s="430"/>
      <c r="H79" s="430"/>
      <c r="I79" s="444">
        <f t="shared" si="42"/>
        <v>592840</v>
      </c>
      <c r="J79" s="108"/>
      <c r="K79" s="109"/>
      <c r="L79" s="109"/>
      <c r="M79" s="109"/>
      <c r="N79" s="452">
        <f t="shared" si="43"/>
        <v>0</v>
      </c>
      <c r="O79" s="111"/>
      <c r="P79" s="109">
        <f>+O79</f>
        <v>0</v>
      </c>
      <c r="Q79" s="430">
        <f t="shared" si="44"/>
        <v>592840</v>
      </c>
      <c r="R79" s="110"/>
    </row>
    <row r="80" spans="1:18" ht="12.75" thickBot="1" x14ac:dyDescent="0.25">
      <c r="A80" s="26"/>
      <c r="B80" s="103" t="s">
        <v>419</v>
      </c>
      <c r="C80" s="116"/>
      <c r="D80" s="437"/>
      <c r="E80" s="437"/>
      <c r="F80" s="437">
        <f>+((F79-F78)/F78)*100</f>
        <v>-36.675112263776079</v>
      </c>
      <c r="G80" s="437"/>
      <c r="H80" s="437"/>
      <c r="I80" s="437">
        <f>+((I79-I78)/I78)*100</f>
        <v>-36.675112263776079</v>
      </c>
      <c r="J80" s="116"/>
      <c r="K80" s="117"/>
      <c r="L80" s="437">
        <f>+((L79-L78)/L78)*100</f>
        <v>-100</v>
      </c>
      <c r="M80" s="117"/>
      <c r="N80" s="437">
        <f>+((N79-N78)/N78)*100</f>
        <v>-100</v>
      </c>
      <c r="O80" s="119"/>
      <c r="P80" s="117"/>
      <c r="Q80" s="437">
        <f>+((Q79-Q78)/Q78)*100</f>
        <v>-37.344375536362747</v>
      </c>
      <c r="R80" s="118"/>
    </row>
    <row r="81" spans="1:18" x14ac:dyDescent="0.2">
      <c r="A81" s="22" t="s">
        <v>273</v>
      </c>
      <c r="B81" s="55">
        <v>2019</v>
      </c>
      <c r="C81" s="107"/>
      <c r="D81" s="451">
        <v>181187766</v>
      </c>
      <c r="E81" s="450">
        <v>292857</v>
      </c>
      <c r="F81" s="442">
        <v>136277495</v>
      </c>
      <c r="G81" s="448"/>
      <c r="H81" s="451">
        <v>124647</v>
      </c>
      <c r="I81" s="446">
        <f>+D81+E81+F81+G81+H81</f>
        <v>317882765</v>
      </c>
      <c r="J81" s="107"/>
      <c r="K81" s="105"/>
      <c r="L81" s="162">
        <v>18310970</v>
      </c>
      <c r="M81" s="105"/>
      <c r="N81" s="446">
        <f>+J81+K81+L81+M81</f>
        <v>18310970</v>
      </c>
      <c r="O81" s="104"/>
      <c r="P81" s="105">
        <f>+O81</f>
        <v>0</v>
      </c>
      <c r="Q81" s="442">
        <f>+I81+N81+P81</f>
        <v>336193735</v>
      </c>
      <c r="R81" s="106"/>
    </row>
    <row r="82" spans="1:18" x14ac:dyDescent="0.2">
      <c r="A82" s="24"/>
      <c r="B82" s="16">
        <v>2020</v>
      </c>
      <c r="C82" s="108"/>
      <c r="D82" s="430">
        <v>195326971</v>
      </c>
      <c r="E82" s="430"/>
      <c r="F82" s="430">
        <v>108569972</v>
      </c>
      <c r="G82" s="430"/>
      <c r="H82" s="430">
        <v>90000</v>
      </c>
      <c r="I82" s="452">
        <f t="shared" ref="I82:I83" si="45">+D82+E82+F82+G82+H82</f>
        <v>303986943</v>
      </c>
      <c r="J82" s="108"/>
      <c r="K82" s="109"/>
      <c r="L82" s="431">
        <v>12084369</v>
      </c>
      <c r="M82" s="109"/>
      <c r="N82" s="452">
        <f t="shared" ref="N82:N83" si="46">+J82+K82+L82+M82</f>
        <v>12084369</v>
      </c>
      <c r="O82" s="111"/>
      <c r="P82" s="109">
        <f>+O82</f>
        <v>0</v>
      </c>
      <c r="Q82" s="430">
        <f t="shared" ref="Q82:Q83" si="47">+I82+N82+P82</f>
        <v>316071312</v>
      </c>
      <c r="R82" s="110"/>
    </row>
    <row r="83" spans="1:18" x14ac:dyDescent="0.2">
      <c r="A83" s="24"/>
      <c r="B83" s="16">
        <v>2021</v>
      </c>
      <c r="C83" s="108"/>
      <c r="D83" s="430">
        <v>214252434</v>
      </c>
      <c r="E83" s="430"/>
      <c r="F83" s="430">
        <v>102742654</v>
      </c>
      <c r="G83" s="430"/>
      <c r="H83" s="430">
        <v>105200</v>
      </c>
      <c r="I83" s="444">
        <f t="shared" si="45"/>
        <v>317100288</v>
      </c>
      <c r="J83" s="108"/>
      <c r="K83" s="109"/>
      <c r="L83" s="431">
        <v>28995297</v>
      </c>
      <c r="M83" s="109"/>
      <c r="N83" s="452">
        <f t="shared" si="46"/>
        <v>28995297</v>
      </c>
      <c r="O83" s="111"/>
      <c r="P83" s="109">
        <f>+O83</f>
        <v>0</v>
      </c>
      <c r="Q83" s="430">
        <f t="shared" si="47"/>
        <v>346095585</v>
      </c>
      <c r="R83" s="110"/>
    </row>
    <row r="84" spans="1:18" ht="12.75" thickBot="1" x14ac:dyDescent="0.25">
      <c r="A84" s="26"/>
      <c r="B84" s="103" t="s">
        <v>419</v>
      </c>
      <c r="C84" s="116"/>
      <c r="D84" s="437">
        <f>+((D83-D82)/D82)*100</f>
        <v>9.6891191744329053</v>
      </c>
      <c r="E84" s="437"/>
      <c r="F84" s="437">
        <f>+((F83-F82)/F82)*100</f>
        <v>-5.3673385860318721</v>
      </c>
      <c r="G84" s="437"/>
      <c r="H84" s="437">
        <f>+((H83-H82)/H82)*100</f>
        <v>16.888888888888889</v>
      </c>
      <c r="I84" s="437">
        <f>+((I83-I82)/I82)*100</f>
        <v>4.3137856088772866</v>
      </c>
      <c r="J84" s="116"/>
      <c r="K84" s="117"/>
      <c r="L84" s="437">
        <f>+((L83-L82)/L82)*100</f>
        <v>139.94051323656205</v>
      </c>
      <c r="M84" s="117"/>
      <c r="N84" s="437">
        <f>+((N83-N82)/N82)*100</f>
        <v>139.94051323656205</v>
      </c>
      <c r="O84" s="119"/>
      <c r="P84" s="117"/>
      <c r="Q84" s="437">
        <f>+((Q83-Q82)/Q82)*100</f>
        <v>9.4992085203860572</v>
      </c>
      <c r="R84" s="118"/>
    </row>
    <row r="85" spans="1:18" x14ac:dyDescent="0.2">
      <c r="A85" s="22" t="s">
        <v>274</v>
      </c>
      <c r="B85" s="55">
        <v>2019</v>
      </c>
      <c r="C85" s="107"/>
      <c r="D85" s="442"/>
      <c r="E85" s="442"/>
      <c r="F85" s="451">
        <v>8311453</v>
      </c>
      <c r="G85" s="442"/>
      <c r="H85" s="442"/>
      <c r="I85" s="446">
        <f>+D85+E85+F85+G85+H85</f>
        <v>8311453</v>
      </c>
      <c r="J85" s="107"/>
      <c r="K85" s="105"/>
      <c r="L85" s="162">
        <v>416500</v>
      </c>
      <c r="M85" s="105"/>
      <c r="N85" s="446">
        <f>+J85+K85+L85+M85</f>
        <v>416500</v>
      </c>
      <c r="O85" s="104"/>
      <c r="P85" s="105">
        <f>+O85</f>
        <v>0</v>
      </c>
      <c r="Q85" s="442">
        <f>+I85+N85+P85</f>
        <v>8727953</v>
      </c>
      <c r="R85" s="106"/>
    </row>
    <row r="86" spans="1:18" x14ac:dyDescent="0.2">
      <c r="A86" s="24"/>
      <c r="B86" s="16">
        <v>2020</v>
      </c>
      <c r="C86" s="108"/>
      <c r="D86" s="430"/>
      <c r="E86" s="430"/>
      <c r="F86" s="430">
        <v>7131500</v>
      </c>
      <c r="G86" s="430"/>
      <c r="H86" s="430"/>
      <c r="I86" s="452">
        <f t="shared" ref="I86:I87" si="48">+D86+E86+F86+G86+H86</f>
        <v>7131500</v>
      </c>
      <c r="J86" s="108"/>
      <c r="K86" s="109"/>
      <c r="L86" s="431">
        <v>416500</v>
      </c>
      <c r="M86" s="109"/>
      <c r="N86" s="452">
        <f t="shared" ref="N86:N87" si="49">+J86+K86+L86+M86</f>
        <v>416500</v>
      </c>
      <c r="O86" s="111"/>
      <c r="P86" s="109">
        <f>+O86</f>
        <v>0</v>
      </c>
      <c r="Q86" s="430">
        <f t="shared" ref="Q86:Q87" si="50">+I86+N86+P86</f>
        <v>7548000</v>
      </c>
      <c r="R86" s="110"/>
    </row>
    <row r="87" spans="1:18" x14ac:dyDescent="0.2">
      <c r="A87" s="24"/>
      <c r="B87" s="16">
        <v>2021</v>
      </c>
      <c r="C87" s="108"/>
      <c r="D87" s="430"/>
      <c r="E87" s="430"/>
      <c r="F87" s="451">
        <v>9148206</v>
      </c>
      <c r="G87" s="430"/>
      <c r="H87" s="430"/>
      <c r="I87" s="444">
        <f t="shared" si="48"/>
        <v>9148206</v>
      </c>
      <c r="J87" s="108"/>
      <c r="K87" s="109"/>
      <c r="L87" s="109"/>
      <c r="M87" s="109"/>
      <c r="N87" s="452">
        <f t="shared" si="49"/>
        <v>0</v>
      </c>
      <c r="O87" s="111"/>
      <c r="P87" s="109">
        <f>+O87</f>
        <v>0</v>
      </c>
      <c r="Q87" s="430">
        <f t="shared" si="50"/>
        <v>9148206</v>
      </c>
      <c r="R87" s="110"/>
    </row>
    <row r="88" spans="1:18" ht="12.75" thickBot="1" x14ac:dyDescent="0.25">
      <c r="A88" s="26"/>
      <c r="B88" s="103" t="s">
        <v>419</v>
      </c>
      <c r="C88" s="116"/>
      <c r="D88" s="437"/>
      <c r="E88" s="437"/>
      <c r="F88" s="437">
        <f>+((F87-F86)/F86)*100</f>
        <v>28.278847367314029</v>
      </c>
      <c r="G88" s="437"/>
      <c r="H88" s="437"/>
      <c r="I88" s="437">
        <f>+((I87-I86)/I86)*100</f>
        <v>28.278847367314029</v>
      </c>
      <c r="J88" s="116"/>
      <c r="K88" s="117"/>
      <c r="L88" s="437">
        <f>+((L87-L86)/L86)*100</f>
        <v>-100</v>
      </c>
      <c r="M88" s="117"/>
      <c r="N88" s="437">
        <f>+((N87-N86)/N86)*100</f>
        <v>-100</v>
      </c>
      <c r="O88" s="119"/>
      <c r="P88" s="117"/>
      <c r="Q88" s="437">
        <f>+((Q87-Q86)/Q86)*100</f>
        <v>21.200397456279809</v>
      </c>
      <c r="R88" s="118"/>
    </row>
    <row r="89" spans="1:18" x14ac:dyDescent="0.2">
      <c r="A89" s="22" t="s">
        <v>275</v>
      </c>
      <c r="B89" s="55">
        <v>2019</v>
      </c>
      <c r="C89" s="107"/>
      <c r="D89" s="451">
        <v>264579647</v>
      </c>
      <c r="E89" s="450">
        <v>1102355</v>
      </c>
      <c r="F89" s="442">
        <v>86398513</v>
      </c>
      <c r="G89" s="448"/>
      <c r="H89" s="451">
        <v>4053353</v>
      </c>
      <c r="I89" s="446">
        <f>+D89+E89+F89+G89+H89</f>
        <v>356133868</v>
      </c>
      <c r="J89" s="107"/>
      <c r="K89" s="105"/>
      <c r="L89" s="162">
        <v>32395423</v>
      </c>
      <c r="M89" s="105"/>
      <c r="N89" s="446">
        <f>+J89+K89+L89+M89</f>
        <v>32395423</v>
      </c>
      <c r="O89" s="104"/>
      <c r="P89" s="105">
        <f>+O89</f>
        <v>0</v>
      </c>
      <c r="Q89" s="442">
        <f>+I89+N89+P89</f>
        <v>388529291</v>
      </c>
      <c r="R89" s="106"/>
    </row>
    <row r="90" spans="1:18" x14ac:dyDescent="0.2">
      <c r="A90" s="24"/>
      <c r="B90" s="16">
        <v>2020</v>
      </c>
      <c r="C90" s="108"/>
      <c r="D90" s="430">
        <v>275940519</v>
      </c>
      <c r="E90" s="430">
        <v>1102354</v>
      </c>
      <c r="F90" s="430">
        <v>80304305</v>
      </c>
      <c r="G90" s="430"/>
      <c r="H90" s="430">
        <v>4160000</v>
      </c>
      <c r="I90" s="452">
        <f t="shared" ref="I90:I91" si="51">+D90+E90+F90+G90+H90</f>
        <v>361507178</v>
      </c>
      <c r="J90" s="108"/>
      <c r="K90" s="109"/>
      <c r="L90" s="431">
        <v>29373465</v>
      </c>
      <c r="M90" s="109"/>
      <c r="N90" s="452">
        <f t="shared" ref="N90:N91" si="52">+J90+K90+L90+M90</f>
        <v>29373465</v>
      </c>
      <c r="O90" s="111"/>
      <c r="P90" s="109">
        <f>+O90</f>
        <v>0</v>
      </c>
      <c r="Q90" s="430">
        <f t="shared" ref="Q90:Q91" si="53">+I90+N90+P90</f>
        <v>390880643</v>
      </c>
      <c r="R90" s="110"/>
    </row>
    <row r="91" spans="1:18" x14ac:dyDescent="0.2">
      <c r="A91" s="24"/>
      <c r="B91" s="16">
        <v>2021</v>
      </c>
      <c r="C91" s="108"/>
      <c r="D91" s="430">
        <v>311414419</v>
      </c>
      <c r="E91" s="430">
        <v>1294298</v>
      </c>
      <c r="F91" s="430">
        <v>72732139</v>
      </c>
      <c r="G91" s="430"/>
      <c r="H91" s="430">
        <v>94403</v>
      </c>
      <c r="I91" s="444">
        <f t="shared" si="51"/>
        <v>385535259</v>
      </c>
      <c r="J91" s="108"/>
      <c r="K91" s="109"/>
      <c r="L91" s="431">
        <v>15226549</v>
      </c>
      <c r="M91" s="109"/>
      <c r="N91" s="452">
        <f t="shared" si="52"/>
        <v>15226549</v>
      </c>
      <c r="O91" s="111"/>
      <c r="P91" s="109">
        <f>+O91</f>
        <v>0</v>
      </c>
      <c r="Q91" s="430">
        <f t="shared" si="53"/>
        <v>400761808</v>
      </c>
      <c r="R91" s="110"/>
    </row>
    <row r="92" spans="1:18" ht="12.75" thickBot="1" x14ac:dyDescent="0.25">
      <c r="A92" s="26"/>
      <c r="B92" s="103" t="s">
        <v>419</v>
      </c>
      <c r="C92" s="116"/>
      <c r="D92" s="437">
        <f>+((D91-D90)/D90)*100</f>
        <v>12.855632847454345</v>
      </c>
      <c r="E92" s="437">
        <f>+((E91-E90)/E90)*100</f>
        <v>17.412192453603833</v>
      </c>
      <c r="F92" s="437">
        <f>+((F91-F90)/F90)*100</f>
        <v>-9.4293400584190348</v>
      </c>
      <c r="G92" s="437"/>
      <c r="H92" s="437">
        <f>+((H91-H90)/H90)*100</f>
        <v>-97.730697115384615</v>
      </c>
      <c r="I92" s="437">
        <f>+((I91-I90)/I90)*100</f>
        <v>6.6466400841423949</v>
      </c>
      <c r="J92" s="116"/>
      <c r="K92" s="117"/>
      <c r="L92" s="117"/>
      <c r="M92" s="117"/>
      <c r="N92" s="118"/>
      <c r="O92" s="119"/>
      <c r="P92" s="117"/>
      <c r="Q92" s="437">
        <f>+((Q91-Q90)/Q90)*100</f>
        <v>2.5279238501457337</v>
      </c>
      <c r="R92" s="118"/>
    </row>
    <row r="93" spans="1:18" x14ac:dyDescent="0.2">
      <c r="A93" s="22" t="s">
        <v>276</v>
      </c>
      <c r="B93" s="55">
        <v>2019</v>
      </c>
      <c r="C93" s="107"/>
      <c r="D93" s="451">
        <v>3550395</v>
      </c>
      <c r="E93" s="450">
        <v>82579</v>
      </c>
      <c r="F93" s="442">
        <v>813572</v>
      </c>
      <c r="G93" s="448"/>
      <c r="H93" s="451">
        <v>0</v>
      </c>
      <c r="I93" s="446">
        <f>+D93+E93+F93+G93+H93</f>
        <v>4446546</v>
      </c>
      <c r="J93" s="107"/>
      <c r="K93" s="105"/>
      <c r="L93" s="162">
        <v>33950</v>
      </c>
      <c r="M93" s="105"/>
      <c r="N93" s="446">
        <f>+J93+K93+L93+M93</f>
        <v>33950</v>
      </c>
      <c r="O93" s="104"/>
      <c r="P93" s="105">
        <f>+O93</f>
        <v>0</v>
      </c>
      <c r="Q93" s="442">
        <f>+I93+N93+P93</f>
        <v>4480496</v>
      </c>
      <c r="R93" s="106"/>
    </row>
    <row r="94" spans="1:18" x14ac:dyDescent="0.2">
      <c r="A94" s="24"/>
      <c r="B94" s="16">
        <v>2020</v>
      </c>
      <c r="C94" s="108"/>
      <c r="D94" s="430">
        <v>3541121</v>
      </c>
      <c r="E94" s="430">
        <v>82580</v>
      </c>
      <c r="F94" s="430">
        <v>2252317</v>
      </c>
      <c r="G94" s="430"/>
      <c r="H94" s="430"/>
      <c r="I94" s="452">
        <f t="shared" ref="I94:I95" si="54">+D94+E94+F94+G94+H94</f>
        <v>5876018</v>
      </c>
      <c r="J94" s="108"/>
      <c r="K94" s="109"/>
      <c r="L94" s="431">
        <v>31290</v>
      </c>
      <c r="M94" s="109"/>
      <c r="N94" s="452">
        <f t="shared" ref="N94:N95" si="55">+J94+K94+L94+M94</f>
        <v>31290</v>
      </c>
      <c r="O94" s="111"/>
      <c r="P94" s="109">
        <f>+O94</f>
        <v>0</v>
      </c>
      <c r="Q94" s="430">
        <f t="shared" ref="Q94:Q95" si="56">+I94+N94+P94</f>
        <v>5907308</v>
      </c>
      <c r="R94" s="110"/>
    </row>
    <row r="95" spans="1:18" x14ac:dyDescent="0.2">
      <c r="A95" s="24"/>
      <c r="B95" s="16">
        <v>2021</v>
      </c>
      <c r="C95" s="108"/>
      <c r="D95" s="430">
        <v>3495969</v>
      </c>
      <c r="E95" s="430">
        <v>82580</v>
      </c>
      <c r="F95" s="430">
        <v>4824574</v>
      </c>
      <c r="G95" s="430"/>
      <c r="H95" s="430"/>
      <c r="I95" s="444">
        <f t="shared" si="54"/>
        <v>8403123</v>
      </c>
      <c r="J95" s="108"/>
      <c r="K95" s="109"/>
      <c r="L95" s="109"/>
      <c r="M95" s="109"/>
      <c r="N95" s="452">
        <f t="shared" si="55"/>
        <v>0</v>
      </c>
      <c r="O95" s="111"/>
      <c r="P95" s="109">
        <f>+O95</f>
        <v>0</v>
      </c>
      <c r="Q95" s="430">
        <f t="shared" si="56"/>
        <v>8403123</v>
      </c>
      <c r="R95" s="110"/>
    </row>
    <row r="96" spans="1:18" ht="12.75" thickBot="1" x14ac:dyDescent="0.25">
      <c r="A96" s="26"/>
      <c r="B96" s="103" t="s">
        <v>419</v>
      </c>
      <c r="C96" s="116"/>
      <c r="D96" s="437">
        <f t="shared" ref="D96:F96" si="57">+((D95-D94)/D94)*100</f>
        <v>-1.2750764517789706</v>
      </c>
      <c r="E96" s="437">
        <f t="shared" si="57"/>
        <v>0</v>
      </c>
      <c r="F96" s="437">
        <f t="shared" si="57"/>
        <v>114.20492763674031</v>
      </c>
      <c r="G96" s="437"/>
      <c r="H96" s="437"/>
      <c r="I96" s="118"/>
      <c r="J96" s="116"/>
      <c r="K96" s="117"/>
      <c r="L96" s="117"/>
      <c r="M96" s="117"/>
      <c r="N96" s="118"/>
      <c r="O96" s="119"/>
      <c r="P96" s="117"/>
      <c r="Q96" s="117"/>
      <c r="R96" s="124"/>
    </row>
    <row r="97" spans="1:18" x14ac:dyDescent="0.2">
      <c r="A97" s="22" t="s">
        <v>277</v>
      </c>
      <c r="B97" s="55">
        <v>2019</v>
      </c>
      <c r="C97" s="107"/>
      <c r="D97" s="442"/>
      <c r="E97" s="451">
        <v>66867009</v>
      </c>
      <c r="F97" s="453"/>
      <c r="G97" s="453"/>
      <c r="H97" s="453"/>
      <c r="I97" s="446">
        <f>+D97+E97+F97+G97+H97</f>
        <v>66867009</v>
      </c>
      <c r="J97" s="107"/>
      <c r="K97" s="105"/>
      <c r="L97" s="105"/>
      <c r="M97" s="105"/>
      <c r="N97" s="446">
        <f>+J97+K97+L97+M97</f>
        <v>0</v>
      </c>
      <c r="O97" s="104"/>
      <c r="P97" s="105">
        <f>+O97</f>
        <v>0</v>
      </c>
      <c r="Q97" s="442">
        <f>+I97+N97+P97</f>
        <v>66867009</v>
      </c>
      <c r="R97" s="106"/>
    </row>
    <row r="98" spans="1:18" x14ac:dyDescent="0.2">
      <c r="A98" s="24"/>
      <c r="B98" s="16">
        <v>2020</v>
      </c>
      <c r="C98" s="108"/>
      <c r="D98" s="430"/>
      <c r="E98" s="430">
        <v>68912271</v>
      </c>
      <c r="F98" s="430"/>
      <c r="G98" s="430"/>
      <c r="H98" s="430">
        <v>10000</v>
      </c>
      <c r="I98" s="452">
        <f t="shared" ref="I98:I99" si="58">+D98+E98+F98+G98+H98</f>
        <v>68922271</v>
      </c>
      <c r="J98" s="108"/>
      <c r="K98" s="109"/>
      <c r="L98" s="109"/>
      <c r="M98" s="109"/>
      <c r="N98" s="452">
        <f t="shared" ref="N98:N99" si="59">+J98+K98+L98+M98</f>
        <v>0</v>
      </c>
      <c r="O98" s="111"/>
      <c r="P98" s="109">
        <f>+O98</f>
        <v>0</v>
      </c>
      <c r="Q98" s="430">
        <f t="shared" ref="Q98:Q99" si="60">+I98+N98+P98</f>
        <v>68922271</v>
      </c>
      <c r="R98" s="110"/>
    </row>
    <row r="99" spans="1:18" x14ac:dyDescent="0.2">
      <c r="A99" s="24"/>
      <c r="B99" s="16">
        <v>2021</v>
      </c>
      <c r="C99" s="108"/>
      <c r="D99" s="430"/>
      <c r="E99" s="430">
        <v>64173790</v>
      </c>
      <c r="F99" s="430"/>
      <c r="G99" s="430"/>
      <c r="H99" s="430">
        <v>5187</v>
      </c>
      <c r="I99" s="444">
        <f t="shared" si="58"/>
        <v>64178977</v>
      </c>
      <c r="J99" s="108"/>
      <c r="K99" s="109"/>
      <c r="L99" s="109"/>
      <c r="M99" s="109"/>
      <c r="N99" s="452">
        <f t="shared" si="59"/>
        <v>0</v>
      </c>
      <c r="O99" s="111"/>
      <c r="P99" s="109">
        <f>+O99</f>
        <v>0</v>
      </c>
      <c r="Q99" s="430">
        <f t="shared" si="60"/>
        <v>64178977</v>
      </c>
      <c r="R99" s="110"/>
    </row>
    <row r="100" spans="1:18" ht="12.75" thickBot="1" x14ac:dyDescent="0.25">
      <c r="A100" s="26"/>
      <c r="B100" s="103" t="s">
        <v>419</v>
      </c>
      <c r="C100" s="116"/>
      <c r="D100" s="437"/>
      <c r="E100" s="437">
        <f>+((E99-E98)/E98)*100</f>
        <v>-6.8761062888204636</v>
      </c>
      <c r="F100" s="437"/>
      <c r="G100" s="437"/>
      <c r="H100" s="437">
        <f t="shared" ref="H100:I100" si="61">+((H99-H98)/H98)*100</f>
        <v>-48.13</v>
      </c>
      <c r="I100" s="437">
        <f t="shared" si="61"/>
        <v>-6.8820918567816776</v>
      </c>
      <c r="J100" s="116"/>
      <c r="K100" s="117"/>
      <c r="L100" s="117"/>
      <c r="M100" s="117"/>
      <c r="N100" s="118"/>
      <c r="O100" s="119"/>
      <c r="P100" s="117"/>
      <c r="Q100" s="437">
        <f>+((Q99-Q98)/Q98)*100</f>
        <v>-6.8820918567816776</v>
      </c>
      <c r="R100" s="118"/>
    </row>
    <row r="101" spans="1:18" x14ac:dyDescent="0.2">
      <c r="A101" s="22" t="s">
        <v>278</v>
      </c>
      <c r="B101" s="55">
        <v>2019</v>
      </c>
      <c r="C101" s="107"/>
      <c r="D101" s="442"/>
      <c r="E101" s="442"/>
      <c r="F101" s="442"/>
      <c r="G101" s="442"/>
      <c r="H101" s="442"/>
      <c r="I101" s="446">
        <f>+D101+E101+F101+G101+H101</f>
        <v>0</v>
      </c>
      <c r="J101" s="107"/>
      <c r="K101" s="105"/>
      <c r="L101" s="105"/>
      <c r="M101" s="105"/>
      <c r="N101" s="446">
        <f>+J101+K101+L101+M101</f>
        <v>0</v>
      </c>
      <c r="O101" s="451">
        <v>45239945</v>
      </c>
      <c r="P101" s="442">
        <f>+O101</f>
        <v>45239945</v>
      </c>
      <c r="Q101" s="442">
        <f>+I101+N101+P101</f>
        <v>45239945</v>
      </c>
      <c r="R101" s="106"/>
    </row>
    <row r="102" spans="1:18" x14ac:dyDescent="0.2">
      <c r="A102" s="24"/>
      <c r="B102" s="16">
        <v>2020</v>
      </c>
      <c r="C102" s="108"/>
      <c r="D102" s="430"/>
      <c r="E102" s="430"/>
      <c r="F102" s="430"/>
      <c r="G102" s="430"/>
      <c r="H102" s="430"/>
      <c r="I102" s="452">
        <f t="shared" ref="I102:I103" si="62">+D102+E102+F102+G102+H102</f>
        <v>0</v>
      </c>
      <c r="J102" s="108"/>
      <c r="K102" s="109"/>
      <c r="L102" s="109"/>
      <c r="M102" s="109"/>
      <c r="N102" s="434">
        <f t="shared" ref="N102:N103" si="63">+J102+K102+L102+M102</f>
        <v>0</v>
      </c>
      <c r="O102" s="430">
        <v>31203546</v>
      </c>
      <c r="P102" s="430">
        <f>+O102</f>
        <v>31203546</v>
      </c>
      <c r="Q102" s="430">
        <f t="shared" ref="Q102:Q103" si="64">+I102+N102+P102</f>
        <v>31203546</v>
      </c>
      <c r="R102" s="110"/>
    </row>
    <row r="103" spans="1:18" x14ac:dyDescent="0.2">
      <c r="A103" s="24"/>
      <c r="B103" s="16">
        <v>2021</v>
      </c>
      <c r="C103" s="108"/>
      <c r="D103" s="430"/>
      <c r="E103" s="430"/>
      <c r="F103" s="430"/>
      <c r="G103" s="430"/>
      <c r="H103" s="430"/>
      <c r="I103" s="444">
        <f t="shared" si="62"/>
        <v>0</v>
      </c>
      <c r="J103" s="108"/>
      <c r="K103" s="109"/>
      <c r="L103" s="109"/>
      <c r="M103" s="109"/>
      <c r="N103" s="434">
        <f t="shared" si="63"/>
        <v>0</v>
      </c>
      <c r="O103" s="430">
        <v>30382531</v>
      </c>
      <c r="P103" s="430">
        <f>+O103</f>
        <v>30382531</v>
      </c>
      <c r="Q103" s="430">
        <f t="shared" si="64"/>
        <v>30382531</v>
      </c>
      <c r="R103" s="110"/>
    </row>
    <row r="104" spans="1:18" ht="12.75" thickBot="1" x14ac:dyDescent="0.25">
      <c r="A104" s="26"/>
      <c r="B104" s="103" t="s">
        <v>419</v>
      </c>
      <c r="C104" s="116"/>
      <c r="D104" s="437"/>
      <c r="E104" s="437"/>
      <c r="F104" s="437"/>
      <c r="G104" s="437"/>
      <c r="H104" s="437"/>
      <c r="I104" s="118"/>
      <c r="J104" s="116"/>
      <c r="K104" s="117"/>
      <c r="L104" s="117"/>
      <c r="M104" s="117"/>
      <c r="N104" s="118"/>
      <c r="O104" s="437">
        <f>+((O103-O102)/O102)*100</f>
        <v>-2.6311592919599587</v>
      </c>
      <c r="P104" s="437">
        <f>+((P103-P102)/P102)*100</f>
        <v>-2.6311592919599587</v>
      </c>
      <c r="Q104" s="437">
        <f>+((Q103-Q102)/Q102)*100</f>
        <v>-2.6311592919599587</v>
      </c>
      <c r="R104" s="118"/>
    </row>
    <row r="105" spans="1:18" x14ac:dyDescent="0.2">
      <c r="A105" s="90" t="s">
        <v>0</v>
      </c>
      <c r="B105" s="55">
        <v>2019</v>
      </c>
      <c r="C105" s="120"/>
      <c r="D105" s="435">
        <f>+D5+D9+D13+D17+D21+D25+D29+D33+D37+D41+D45+D49+D53+D57+D61+D65+D69+D73+D77+D81+D85+D89+D93+D97+D101</f>
        <v>499538226</v>
      </c>
      <c r="E105" s="435">
        <f t="shared" ref="E105:F105" si="65">+E5+E9+E13+E17+E21+E25+E29+E33+E37+E41+E45+E49+E53+E57+E61+E65+E69+E73+E77+E81+E85+E89+E93+E97+E101</f>
        <v>70626096</v>
      </c>
      <c r="F105" s="435">
        <f t="shared" si="65"/>
        <v>286616039</v>
      </c>
      <c r="G105" s="435"/>
      <c r="H105" s="435">
        <f>+H5+H9+H13+H17+H21+H25+H29+H33+H37+H41+H45+H49+H53+H57+H61+H65+H69+H73+H77+H81+H85+H89+H93+H97+H101</f>
        <v>15594282</v>
      </c>
      <c r="I105" s="446">
        <f>+D105+E105+F105+G105+H105</f>
        <v>872374643</v>
      </c>
      <c r="J105" s="120"/>
      <c r="K105" s="121"/>
      <c r="L105" s="435">
        <f t="shared" ref="L105:M107" si="66">+L5+L9+L13+L17+L21+L25+L29+L33+L37+L41+L45+L49+L53+L57+L61+L65+L69+L73+L77+L81+L85+L89+L93+L97+L101</f>
        <v>100652482</v>
      </c>
      <c r="M105" s="435">
        <f t="shared" si="66"/>
        <v>0</v>
      </c>
      <c r="N105" s="446">
        <f>+J105+K105+L105+M105</f>
        <v>100652482</v>
      </c>
      <c r="O105" s="435">
        <f>+O5+O9+O13+O17+O21+O25+O29+O33+O37+O41+O45+O49+O53+O57+O61+O65+O69+O73+O77+O81+O85+O89+O93+O97+O101</f>
        <v>45239945</v>
      </c>
      <c r="P105" s="105">
        <f>+O105</f>
        <v>45239945</v>
      </c>
      <c r="Q105" s="442">
        <f>+I105+N105+P105</f>
        <v>1018267070</v>
      </c>
      <c r="R105" s="122"/>
    </row>
    <row r="106" spans="1:18" x14ac:dyDescent="0.2">
      <c r="A106" s="27"/>
      <c r="B106" s="16">
        <v>2020</v>
      </c>
      <c r="C106" s="108"/>
      <c r="D106" s="435">
        <f t="shared" ref="D106:H107" si="67">+D6+D10+D14+D18+D22+D26+D30+D34+D38+D42+D46+D50+D54+D58+D62+D66+D70+D74+D78+D82+D86+D90+D94+D98+D102</f>
        <v>525508125</v>
      </c>
      <c r="E106" s="435">
        <f t="shared" si="67"/>
        <v>72448960</v>
      </c>
      <c r="F106" s="435">
        <f t="shared" si="67"/>
        <v>268873314</v>
      </c>
      <c r="G106" s="435"/>
      <c r="H106" s="435">
        <f t="shared" si="67"/>
        <v>10769737</v>
      </c>
      <c r="I106" s="452">
        <f t="shared" ref="I106:I107" si="68">+D106+E106+F106+G106+H106</f>
        <v>877600136</v>
      </c>
      <c r="J106" s="108"/>
      <c r="K106" s="109"/>
      <c r="L106" s="435">
        <f t="shared" si="66"/>
        <v>127114418</v>
      </c>
      <c r="M106" s="109"/>
      <c r="N106" s="452">
        <f t="shared" ref="N106:N107" si="69">+J106+K106+L106+M106</f>
        <v>127114418</v>
      </c>
      <c r="O106" s="435">
        <f t="shared" ref="O106:O107" si="70">+O6+O10+O14+O18+O22+O26+O30+O34+O38+O42+O46+O50+O54+O58+O62+O66+O70+O74+O78+O82+O86+O90+O94+O98+O102</f>
        <v>31203546</v>
      </c>
      <c r="P106" s="109">
        <f>+O106</f>
        <v>31203546</v>
      </c>
      <c r="Q106" s="430">
        <f t="shared" ref="Q106:Q107" si="71">+I106+N106+P106</f>
        <v>1035918100</v>
      </c>
      <c r="R106" s="110"/>
    </row>
    <row r="107" spans="1:18" x14ac:dyDescent="0.2">
      <c r="A107" s="27"/>
      <c r="B107" s="16">
        <v>2021</v>
      </c>
      <c r="C107" s="108"/>
      <c r="D107" s="435">
        <f t="shared" si="67"/>
        <v>568205679</v>
      </c>
      <c r="E107" s="435">
        <f t="shared" si="67"/>
        <v>66243162</v>
      </c>
      <c r="F107" s="435">
        <f t="shared" si="67"/>
        <v>248620235</v>
      </c>
      <c r="G107" s="435"/>
      <c r="H107" s="435">
        <f t="shared" si="67"/>
        <v>7905225</v>
      </c>
      <c r="I107" s="444">
        <f t="shared" si="68"/>
        <v>890974301</v>
      </c>
      <c r="J107" s="108"/>
      <c r="K107" s="109"/>
      <c r="L107" s="435">
        <f t="shared" si="66"/>
        <v>119931247</v>
      </c>
      <c r="M107" s="109"/>
      <c r="N107" s="452">
        <f t="shared" si="69"/>
        <v>119931247</v>
      </c>
      <c r="O107" s="435">
        <f t="shared" si="70"/>
        <v>30382531</v>
      </c>
      <c r="P107" s="109">
        <f>+O107</f>
        <v>30382531</v>
      </c>
      <c r="Q107" s="430">
        <f t="shared" si="71"/>
        <v>1041288079</v>
      </c>
      <c r="R107" s="110"/>
    </row>
    <row r="108" spans="1:18" ht="12.75" thickBot="1" x14ac:dyDescent="0.25">
      <c r="A108" s="26"/>
      <c r="B108" s="103" t="s">
        <v>419</v>
      </c>
      <c r="C108" s="116"/>
      <c r="D108" s="437">
        <f>+((D107-D106)/D106)*100</f>
        <v>8.1250035858151577</v>
      </c>
      <c r="E108" s="437">
        <f>+((E107-E106)/E106)*100</f>
        <v>-8.5657516684849586</v>
      </c>
      <c r="F108" s="437">
        <f>+((F107-F106)/F106)*100</f>
        <v>-7.5325731284734339</v>
      </c>
      <c r="G108" s="437"/>
      <c r="H108" s="437">
        <f>+((H107-H106)/H106)*100</f>
        <v>-26.597789713899232</v>
      </c>
      <c r="I108" s="437">
        <f>+((I107-I106)/I106)*100</f>
        <v>1.5239474621047688</v>
      </c>
      <c r="J108" s="116"/>
      <c r="K108" s="117"/>
      <c r="L108" s="437">
        <f>+((L107-L106)/L106)*100</f>
        <v>-5.6509490528446591</v>
      </c>
      <c r="M108" s="117"/>
      <c r="N108" s="437">
        <f>+((N107-N106)/N106)*100</f>
        <v>-5.6509490528446591</v>
      </c>
      <c r="O108" s="437">
        <f t="shared" ref="O108:P108" si="72">+((O107-O106)/O106)*100</f>
        <v>-2.6311592919599587</v>
      </c>
      <c r="P108" s="437">
        <f t="shared" si="72"/>
        <v>-2.6311592919599587</v>
      </c>
      <c r="Q108" s="437">
        <f>+((Q107-Q106)/Q106)*100</f>
        <v>0.51837872125219164</v>
      </c>
      <c r="R108" s="118"/>
    </row>
  </sheetData>
  <mergeCells count="6">
    <mergeCell ref="Q3:R3"/>
    <mergeCell ref="A3:A4"/>
    <mergeCell ref="C3:I3"/>
    <mergeCell ref="J3:N3"/>
    <mergeCell ref="O3:P3"/>
    <mergeCell ref="B3:B4"/>
  </mergeCells>
  <phoneticPr fontId="0" type="noConversion"/>
  <printOptions horizontalCentered="1"/>
  <pageMargins left="0.25" right="0.25" top="0.75" bottom="0.75" header="0.3" footer="0.3"/>
  <pageSetup paperSize="9" scale="52" orientation="portrait" r:id="rId1"/>
  <headerFooter alignWithMargins="0">
    <oddHeader xml:space="preserve">&amp;C&amp;"Arial,Negrita"&amp;18PROYECTO DE PRESUPUESTO 2021
</oddHeader>
    <oddFooter>&amp;L&amp;"Arial,Negrita"&amp;8PROYECTO DE PRESUPUESTO PARA EL AÑO FISCAL 2021
INFORMACIÓN PARA LA COMISIÓN DE PRESUPUESTO Y CUENTA GENERAL DE LA REPÚBLICA DEL CONGRESO DE LA REPÚBLICA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Índice</vt:lpstr>
      <vt:lpstr>F-01</vt:lpstr>
      <vt:lpstr>F-02</vt:lpstr>
      <vt:lpstr>F-03</vt:lpstr>
      <vt:lpstr>F-04</vt:lpstr>
      <vt:lpstr>F-05</vt:lpstr>
      <vt:lpstr>F-06</vt:lpstr>
      <vt:lpstr>F-07</vt:lpstr>
      <vt:lpstr>F-08</vt:lpstr>
      <vt:lpstr>F-09</vt:lpstr>
      <vt:lpstr>F-10</vt:lpstr>
      <vt:lpstr>F-11</vt:lpstr>
      <vt:lpstr>F-12</vt:lpstr>
      <vt:lpstr>F-13</vt:lpstr>
      <vt:lpstr>F-14</vt:lpstr>
      <vt:lpstr>F-15</vt:lpstr>
      <vt:lpstr>F-16</vt:lpstr>
      <vt:lpstr>F-17</vt:lpstr>
      <vt:lpstr>F-18</vt:lpstr>
      <vt:lpstr>Hoja2</vt:lpstr>
      <vt:lpstr>Hoja1</vt:lpstr>
      <vt:lpstr>'F-01'!Área_de_impresión</vt:lpstr>
      <vt:lpstr>'F-06'!Área_de_impresión</vt:lpstr>
      <vt:lpstr>'F-07'!Área_de_impresión</vt:lpstr>
      <vt:lpstr>'F-08'!Área_de_impresión</vt:lpstr>
      <vt:lpstr>'F-09'!Área_de_impresión</vt:lpstr>
      <vt:lpstr>'F-10'!Área_de_impresión</vt:lpstr>
      <vt:lpstr>'F-11'!Área_de_impresión</vt:lpstr>
      <vt:lpstr>'F-12'!Área_de_impresión</vt:lpstr>
      <vt:lpstr>'F-13'!Área_de_impresión</vt:lpstr>
      <vt:lpstr>'F-14'!Área_de_impresión</vt:lpstr>
      <vt:lpstr>'F-15'!Área_de_impresión</vt:lpstr>
      <vt:lpstr>'F-16'!Área_de_impresión</vt:lpstr>
      <vt:lpstr>'F-17'!Área_de_impresión</vt:lpstr>
      <vt:lpstr>'F-18'!Área_de_impresión</vt:lpstr>
      <vt:lpstr>Índice!Área_de_impresión</vt:lpstr>
      <vt:lpstr>'F-01'!Títulos_a_imprimir</vt:lpstr>
      <vt:lpstr>Índice!Títulos_a_imprimir</vt:lpstr>
    </vt:vector>
  </TitlesOfParts>
  <Company>Congreso de la República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Directiva Formulaicón de Presupuesto (V 2008)</dc:title>
  <dc:creator>Asesoria de Presupuesto</dc:creator>
  <cp:lastModifiedBy>pined</cp:lastModifiedBy>
  <cp:lastPrinted>2020-09-11T15:13:13Z</cp:lastPrinted>
  <dcterms:created xsi:type="dcterms:W3CDTF">1998-08-20T20:27:58Z</dcterms:created>
  <dcterms:modified xsi:type="dcterms:W3CDTF">2020-09-18T16:30:16Z</dcterms:modified>
</cp:coreProperties>
</file>