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ined\Documents\HUMBERTO ACUÑA\LEY DE PRESUPUESTO DEL AÑO 2021\Formatos y Directivas de las entidades\GORES\Cajamarca\"/>
    </mc:Choice>
  </mc:AlternateContent>
  <xr:revisionPtr revIDLastSave="0" documentId="8_{51C6AC50-11CD-41AE-9365-F3F1EBFC2BB5}" xr6:coauthVersionLast="45" xr6:coauthVersionMax="45" xr10:uidLastSave="{00000000-0000-0000-0000-000000000000}"/>
  <bookViews>
    <workbookView xWindow="-120" yWindow="-120" windowWidth="20730" windowHeight="11160" tabRatio="825" activeTab="1" xr2:uid="{00000000-000D-0000-FFFF-FFFF00000000}"/>
  </bookViews>
  <sheets>
    <sheet name="Índice" sheetId="55" r:id="rId1"/>
    <sheet name="F-01" sheetId="62" r:id="rId2"/>
    <sheet name="F-02" sheetId="73" r:id="rId3"/>
    <sheet name="F-03" sheetId="70" r:id="rId4"/>
    <sheet name="F-04" sheetId="30" r:id="rId5"/>
    <sheet name="F-05" sheetId="76" r:id="rId6"/>
    <sheet name="F-06" sheetId="57" r:id="rId7"/>
    <sheet name="F-07" sheetId="9" r:id="rId8"/>
    <sheet name="F-08" sheetId="21" r:id="rId9"/>
    <sheet name="F-09" sheetId="60" r:id="rId10"/>
    <sheet name="F-10" sheetId="32" r:id="rId11"/>
    <sheet name="F-11" sheetId="45" r:id="rId12"/>
    <sheet name="F-12" sheetId="33" r:id="rId13"/>
    <sheet name="F-13" sheetId="50" r:id="rId14"/>
    <sheet name="F-14" sheetId="51" r:id="rId15"/>
    <sheet name="F-15" sheetId="39" r:id="rId16"/>
    <sheet name="F-16" sheetId="79" r:id="rId17"/>
    <sheet name="F-17" sheetId="53" r:id="rId18"/>
    <sheet name="F-18" sheetId="64" r:id="rId19"/>
    <sheet name="Hoja2" sheetId="80" r:id="rId20"/>
    <sheet name="Hoja1" sheetId="78" state="hidden" r:id="rId21"/>
  </sheets>
  <definedNames>
    <definedName name="_xlnm.Print_Area" localSheetId="1">'F-01'!$A$1:$N$18</definedName>
    <definedName name="_xlnm.Print_Area" localSheetId="6">'F-06'!$A$1:$N$51</definedName>
    <definedName name="_xlnm.Print_Area" localSheetId="7">'F-07'!$A$1:$Q$25</definedName>
    <definedName name="_xlnm.Print_Area" localSheetId="8">'F-08'!$A$1:$R$109</definedName>
    <definedName name="_xlnm.Print_Area" localSheetId="9">'F-09'!$A$1:$X$34</definedName>
    <definedName name="_xlnm.Print_Area" localSheetId="10">'F-10'!$A$1:$I$24</definedName>
    <definedName name="_xlnm.Print_Area" localSheetId="11">'F-11'!$A$1:$AI$70</definedName>
    <definedName name="_xlnm.Print_Area" localSheetId="12">'F-12'!$A$1:$J$27</definedName>
    <definedName name="_xlnm.Print_Area" localSheetId="13">'F-13'!$A$1:$N$28</definedName>
    <definedName name="_xlnm.Print_Area" localSheetId="14">'F-14'!$A$1:$J$27</definedName>
    <definedName name="_xlnm.Print_Area" localSheetId="15">'F-15'!$A$1:$H$21</definedName>
    <definedName name="_xlnm.Print_Area" localSheetId="16">'F-16'!$A$1:$H$28</definedName>
    <definedName name="_xlnm.Print_Area" localSheetId="17">'F-17'!$A$1:$P$19</definedName>
    <definedName name="_xlnm.Print_Area" localSheetId="18">'F-18'!$A$1:$L$19</definedName>
    <definedName name="_xlnm.Print_Area" localSheetId="0">Índice!$A$1:$E$35</definedName>
    <definedName name="dd" localSheetId="2">#REF!</definedName>
    <definedName name="dd" localSheetId="3">#REF!</definedName>
    <definedName name="dd" localSheetId="5">#REF!</definedName>
    <definedName name="dd">#REF!</definedName>
    <definedName name="DIRECREC" localSheetId="1">#REF!</definedName>
    <definedName name="DIRECREC" localSheetId="2">#REF!</definedName>
    <definedName name="DIRECREC" localSheetId="3">#REF!</definedName>
    <definedName name="DIRECREC" localSheetId="5">#REF!</definedName>
    <definedName name="DIRECREC" localSheetId="6">#REF!</definedName>
    <definedName name="DIRECREC" localSheetId="9">#REF!</definedName>
    <definedName name="DIRECREC" localSheetId="18">#REF!</definedName>
    <definedName name="DIRECREC">#REF!</definedName>
    <definedName name="DONAC" localSheetId="1">#REF!</definedName>
    <definedName name="DONAC" localSheetId="2">#REF!</definedName>
    <definedName name="DONAC" localSheetId="3">#REF!</definedName>
    <definedName name="DONAC" localSheetId="5">#REF!</definedName>
    <definedName name="DONAC" localSheetId="6">#REF!</definedName>
    <definedName name="DONAC" localSheetId="9">#REF!</definedName>
    <definedName name="DONAC" localSheetId="18">#REF!</definedName>
    <definedName name="DONAC">#REF!</definedName>
    <definedName name="EE" localSheetId="2">#REF!</definedName>
    <definedName name="EE" localSheetId="3">#REF!</definedName>
    <definedName name="EE" localSheetId="5">#REF!</definedName>
    <definedName name="EE">#REF!</definedName>
    <definedName name="RECORD" localSheetId="1">#REF!</definedName>
    <definedName name="RECORD" localSheetId="2">#REF!</definedName>
    <definedName name="RECORD" localSheetId="3">#REF!</definedName>
    <definedName name="RECORD" localSheetId="5">#REF!</definedName>
    <definedName name="RECORD" localSheetId="6">#REF!</definedName>
    <definedName name="RECORD" localSheetId="9">#REF!</definedName>
    <definedName name="RECORD" localSheetId="18">#REF!</definedName>
    <definedName name="RECORD">#REF!</definedName>
    <definedName name="RECPUB" localSheetId="1">#REF!</definedName>
    <definedName name="RECPUB" localSheetId="2">#REF!</definedName>
    <definedName name="RECPUB" localSheetId="3">#REF!</definedName>
    <definedName name="RECPUB" localSheetId="5">#REF!</definedName>
    <definedName name="RECPUB" localSheetId="6">#REF!</definedName>
    <definedName name="RECPUB" localSheetId="9">#REF!</definedName>
    <definedName name="RECPUB" localSheetId="18">#REF!</definedName>
    <definedName name="RECPUB">#REF!</definedName>
    <definedName name="_xlnm.Print_Titles" localSheetId="1">'F-01'!$3:$3</definedName>
    <definedName name="_xlnm.Print_Titles" localSheetId="0">Índice!$1:$1</definedName>
    <definedName name="XPRINT" localSheetId="1">#REF!</definedName>
    <definedName name="XPRINT" localSheetId="2">#REF!</definedName>
    <definedName name="XPRINT" localSheetId="3">#REF!</definedName>
    <definedName name="XPRINT" localSheetId="5">#REF!</definedName>
    <definedName name="XPRINT" localSheetId="6">#REF!</definedName>
    <definedName name="XPRINT" localSheetId="9">#REF!</definedName>
    <definedName name="XPRINT" localSheetId="18">#REF!</definedName>
    <definedName name="XPRINT">#REF!</definedName>
    <definedName name="XPRINT2" localSheetId="1">#REF!</definedName>
    <definedName name="XPRINT2" localSheetId="2">#REF!</definedName>
    <definedName name="XPRINT2" localSheetId="3">#REF!</definedName>
    <definedName name="XPRINT2" localSheetId="5">#REF!</definedName>
    <definedName name="XPRINT2" localSheetId="6">#REF!</definedName>
    <definedName name="XPRINT2" localSheetId="9">#REF!</definedName>
    <definedName name="XPRINT2" localSheetId="18">#REF!</definedName>
    <definedName name="XPRINT2">#REF!</definedName>
    <definedName name="XPRINT3" localSheetId="1">#REF!</definedName>
    <definedName name="XPRINT3" localSheetId="2">#REF!</definedName>
    <definedName name="XPRINT3" localSheetId="3">#REF!</definedName>
    <definedName name="XPRINT3" localSheetId="5">#REF!</definedName>
    <definedName name="XPRINT3" localSheetId="6">#REF!</definedName>
    <definedName name="XPRINT3" localSheetId="9">#REF!</definedName>
    <definedName name="XPRINT3" localSheetId="18">#REF!</definedName>
    <definedName name="XPRINT3">#REF!</definedName>
    <definedName name="XPRINT4" localSheetId="1">#REF!</definedName>
    <definedName name="XPRINT4" localSheetId="2">#REF!</definedName>
    <definedName name="XPRINT4" localSheetId="3">#REF!</definedName>
    <definedName name="XPRINT4" localSheetId="5">#REF!</definedName>
    <definedName name="XPRINT4" localSheetId="6">#REF!</definedName>
    <definedName name="XPRINT4" localSheetId="9">#REF!</definedName>
    <definedName name="XPRINT4" localSheetId="18">#REF!</definedName>
    <definedName name="XPRINT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62" l="1"/>
  <c r="I7" i="33" l="1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6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F24" i="33"/>
  <c r="J24" i="33" s="1"/>
  <c r="E24" i="33"/>
  <c r="D24" i="33"/>
  <c r="C24" i="33"/>
  <c r="B24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N92" i="21"/>
  <c r="N91" i="21"/>
  <c r="N90" i="21"/>
  <c r="N89" i="21"/>
  <c r="N83" i="21"/>
  <c r="N84" i="21" s="1"/>
  <c r="N82" i="21"/>
  <c r="N81" i="21"/>
  <c r="N75" i="21"/>
  <c r="N74" i="21"/>
  <c r="N76" i="21" s="1"/>
  <c r="N73" i="21"/>
  <c r="N71" i="21"/>
  <c r="N70" i="21"/>
  <c r="N69" i="21"/>
  <c r="N63" i="21"/>
  <c r="N62" i="21"/>
  <c r="N64" i="21" s="1"/>
  <c r="N61" i="21"/>
  <c r="N51" i="21"/>
  <c r="N52" i="21" s="1"/>
  <c r="N50" i="21"/>
  <c r="N49" i="21"/>
  <c r="N45" i="21"/>
  <c r="N47" i="21"/>
  <c r="N48" i="21" s="1"/>
  <c r="N46" i="21"/>
  <c r="N43" i="21"/>
  <c r="N42" i="21"/>
  <c r="N41" i="21"/>
  <c r="N15" i="21"/>
  <c r="N14" i="21"/>
  <c r="N13" i="21"/>
  <c r="I88" i="21"/>
  <c r="I99" i="21"/>
  <c r="I98" i="21"/>
  <c r="I97" i="21"/>
  <c r="I95" i="21"/>
  <c r="I96" i="21" s="1"/>
  <c r="I94" i="21"/>
  <c r="I93" i="21"/>
  <c r="I91" i="21"/>
  <c r="I90" i="21"/>
  <c r="I89" i="21"/>
  <c r="I87" i="21"/>
  <c r="I86" i="21"/>
  <c r="I85" i="21"/>
  <c r="I83" i="21"/>
  <c r="I84" i="21" s="1"/>
  <c r="I82" i="21"/>
  <c r="I81" i="21"/>
  <c r="I79" i="21"/>
  <c r="I80" i="21" s="1"/>
  <c r="I78" i="21"/>
  <c r="I77" i="21"/>
  <c r="I75" i="21"/>
  <c r="I74" i="21"/>
  <c r="I73" i="21"/>
  <c r="I71" i="21"/>
  <c r="I70" i="21"/>
  <c r="I72" i="21" s="1"/>
  <c r="I69" i="21"/>
  <c r="I67" i="21"/>
  <c r="I66" i="21"/>
  <c r="I65" i="21"/>
  <c r="I63" i="21"/>
  <c r="I64" i="21" s="1"/>
  <c r="I62" i="21"/>
  <c r="I61" i="21"/>
  <c r="I59" i="21"/>
  <c r="I60" i="21" s="1"/>
  <c r="I58" i="21"/>
  <c r="I57" i="21"/>
  <c r="I55" i="21"/>
  <c r="I56" i="21" s="1"/>
  <c r="I54" i="21"/>
  <c r="I53" i="21"/>
  <c r="I51" i="21"/>
  <c r="I52" i="21" s="1"/>
  <c r="I50" i="21"/>
  <c r="I49" i="21"/>
  <c r="I47" i="21"/>
  <c r="I48" i="21" s="1"/>
  <c r="I46" i="21"/>
  <c r="I45" i="21"/>
  <c r="I43" i="21"/>
  <c r="I42" i="21"/>
  <c r="I41" i="21"/>
  <c r="I39" i="21"/>
  <c r="I38" i="21"/>
  <c r="I37" i="21"/>
  <c r="I35" i="21"/>
  <c r="I34" i="21"/>
  <c r="I33" i="21"/>
  <c r="I31" i="21"/>
  <c r="I32" i="21" s="1"/>
  <c r="I30" i="21"/>
  <c r="I29" i="21"/>
  <c r="I23" i="21"/>
  <c r="I22" i="21"/>
  <c r="I21" i="21"/>
  <c r="I15" i="21"/>
  <c r="I16" i="21" s="1"/>
  <c r="I14" i="21"/>
  <c r="I13" i="21"/>
  <c r="I11" i="21"/>
  <c r="I10" i="21"/>
  <c r="I9" i="21"/>
  <c r="I7" i="21"/>
  <c r="I6" i="21"/>
  <c r="I5" i="21"/>
  <c r="R108" i="21"/>
  <c r="Q108" i="21"/>
  <c r="P108" i="21"/>
  <c r="O108" i="21"/>
  <c r="N108" i="21"/>
  <c r="M108" i="21"/>
  <c r="D107" i="21"/>
  <c r="H100" i="21"/>
  <c r="E100" i="21"/>
  <c r="H96" i="21"/>
  <c r="F96" i="21"/>
  <c r="L92" i="21"/>
  <c r="F92" i="21"/>
  <c r="D92" i="21"/>
  <c r="F88" i="21"/>
  <c r="L84" i="21"/>
  <c r="H84" i="21"/>
  <c r="F84" i="21"/>
  <c r="D84" i="21"/>
  <c r="F80" i="21"/>
  <c r="D80" i="21"/>
  <c r="L76" i="21"/>
  <c r="F76" i="21"/>
  <c r="L72" i="21"/>
  <c r="F72" i="21"/>
  <c r="F68" i="21"/>
  <c r="N44" i="21"/>
  <c r="I68" i="21"/>
  <c r="L64" i="21"/>
  <c r="F64" i="21"/>
  <c r="D64" i="21"/>
  <c r="F60" i="21"/>
  <c r="F56" i="21"/>
  <c r="I40" i="21"/>
  <c r="L52" i="21"/>
  <c r="F52" i="21"/>
  <c r="L48" i="21"/>
  <c r="F48" i="21"/>
  <c r="L44" i="21"/>
  <c r="F44" i="21"/>
  <c r="D44" i="21"/>
  <c r="F40" i="21"/>
  <c r="F36" i="21"/>
  <c r="H32" i="21"/>
  <c r="F32" i="21"/>
  <c r="F24" i="21"/>
  <c r="E24" i="21"/>
  <c r="H16" i="21"/>
  <c r="F16" i="21"/>
  <c r="E16" i="21"/>
  <c r="D16" i="21"/>
  <c r="I36" i="21" l="1"/>
  <c r="I100" i="21"/>
  <c r="I92" i="21"/>
  <c r="N72" i="21"/>
  <c r="I24" i="21"/>
  <c r="N16" i="21"/>
  <c r="I44" i="21"/>
  <c r="I76" i="21"/>
  <c r="I24" i="33"/>
  <c r="H24" i="33"/>
  <c r="G24" i="33"/>
  <c r="G32" i="21"/>
  <c r="L16" i="21"/>
  <c r="G16" i="21"/>
  <c r="H22" i="32"/>
  <c r="G22" i="32"/>
  <c r="E22" i="32"/>
  <c r="C22" i="32"/>
  <c r="I22" i="32" s="1"/>
  <c r="I21" i="32"/>
  <c r="H21" i="32"/>
  <c r="G21" i="32"/>
  <c r="I19" i="32"/>
  <c r="H19" i="32"/>
  <c r="F15" i="32"/>
  <c r="E15" i="32"/>
  <c r="D15" i="32"/>
  <c r="D23" i="32" s="1"/>
  <c r="C15" i="32"/>
  <c r="C23" i="32" s="1"/>
  <c r="B15" i="32"/>
  <c r="H15" i="32" s="1"/>
  <c r="I11" i="32"/>
  <c r="F11" i="32"/>
  <c r="E11" i="32"/>
  <c r="D11" i="32"/>
  <c r="H11" i="32" s="1"/>
  <c r="I10" i="32"/>
  <c r="H10" i="32"/>
  <c r="G10" i="32"/>
  <c r="E10" i="32"/>
  <c r="H6" i="32"/>
  <c r="G6" i="32"/>
  <c r="E6" i="32"/>
  <c r="I6" i="32" s="1"/>
  <c r="I15" i="32" l="1"/>
  <c r="I23" i="32" s="1"/>
  <c r="G23" i="32"/>
  <c r="E23" i="32"/>
  <c r="S44" i="45" l="1"/>
  <c r="Q44" i="45"/>
  <c r="O44" i="45"/>
  <c r="D44" i="45"/>
  <c r="B44" i="45"/>
  <c r="L41" i="45"/>
  <c r="AI39" i="45"/>
  <c r="P39" i="45"/>
  <c r="AG39" i="45" s="1"/>
  <c r="AG37" i="45"/>
  <c r="AG35" i="45"/>
  <c r="AI33" i="45"/>
  <c r="AA32" i="45"/>
  <c r="R32" i="45"/>
  <c r="Z32" i="45" s="1"/>
  <c r="AE32" i="45" s="1"/>
  <c r="AI32" i="45" s="1"/>
  <c r="L32" i="45"/>
  <c r="K32" i="45"/>
  <c r="AA31" i="45"/>
  <c r="AE31" i="45" s="1"/>
  <c r="Z31" i="45"/>
  <c r="L31" i="45"/>
  <c r="K31" i="45"/>
  <c r="P31" i="45" s="1"/>
  <c r="AA30" i="45"/>
  <c r="Z30" i="45"/>
  <c r="L30" i="45"/>
  <c r="K30" i="45"/>
  <c r="AH29" i="45"/>
  <c r="AA29" i="45"/>
  <c r="R29" i="45"/>
  <c r="Z29" i="45" s="1"/>
  <c r="AE29" i="45" s="1"/>
  <c r="AI29" i="45" s="1"/>
  <c r="L29" i="45"/>
  <c r="K29" i="45"/>
  <c r="P29" i="45" s="1"/>
  <c r="AG29" i="45" s="1"/>
  <c r="AA28" i="45"/>
  <c r="R28" i="45"/>
  <c r="Z28" i="45" s="1"/>
  <c r="AE28" i="45" s="1"/>
  <c r="AI28" i="45" s="1"/>
  <c r="P28" i="45"/>
  <c r="AG28" i="45" s="1"/>
  <c r="L28" i="45"/>
  <c r="K28" i="45"/>
  <c r="AA27" i="45"/>
  <c r="R27" i="45"/>
  <c r="Z27" i="45" s="1"/>
  <c r="L27" i="45"/>
  <c r="K27" i="45"/>
  <c r="AA26" i="45"/>
  <c r="R26" i="45"/>
  <c r="Z26" i="45" s="1"/>
  <c r="AE26" i="45" s="1"/>
  <c r="AI26" i="45" s="1"/>
  <c r="L26" i="45"/>
  <c r="K26" i="45"/>
  <c r="P26" i="45" s="1"/>
  <c r="AA25" i="45"/>
  <c r="R25" i="45"/>
  <c r="Z25" i="45" s="1"/>
  <c r="L25" i="45"/>
  <c r="K25" i="45"/>
  <c r="P25" i="45" s="1"/>
  <c r="AA24" i="45"/>
  <c r="Z24" i="45"/>
  <c r="L24" i="45"/>
  <c r="K24" i="45"/>
  <c r="AA23" i="45"/>
  <c r="Z23" i="45"/>
  <c r="L23" i="45"/>
  <c r="K23" i="45"/>
  <c r="P23" i="45" s="1"/>
  <c r="AE22" i="45"/>
  <c r="AI22" i="45" s="1"/>
  <c r="AA22" i="45"/>
  <c r="R22" i="45"/>
  <c r="Z22" i="45" s="1"/>
  <c r="L22" i="45"/>
  <c r="K22" i="45"/>
  <c r="P22" i="45" s="1"/>
  <c r="AA21" i="45"/>
  <c r="R21" i="45"/>
  <c r="Z21" i="45" s="1"/>
  <c r="L21" i="45"/>
  <c r="K21" i="45"/>
  <c r="P21" i="45" s="1"/>
  <c r="AH20" i="45"/>
  <c r="AA20" i="45"/>
  <c r="Z20" i="45"/>
  <c r="AE20" i="45" s="1"/>
  <c r="AI20" i="45" s="1"/>
  <c r="L20" i="45"/>
  <c r="K20" i="45"/>
  <c r="AA19" i="45"/>
  <c r="R19" i="45"/>
  <c r="Z19" i="45" s="1"/>
  <c r="AE19" i="45" s="1"/>
  <c r="AI19" i="45" s="1"/>
  <c r="L19" i="45"/>
  <c r="K19" i="45"/>
  <c r="AA18" i="45"/>
  <c r="Z18" i="45"/>
  <c r="AE18" i="45" s="1"/>
  <c r="AI18" i="45" s="1"/>
  <c r="L18" i="45"/>
  <c r="K18" i="45"/>
  <c r="AA17" i="45"/>
  <c r="Z17" i="45"/>
  <c r="AE17" i="45" s="1"/>
  <c r="AI17" i="45" s="1"/>
  <c r="L17" i="45"/>
  <c r="K17" i="45"/>
  <c r="AA16" i="45"/>
  <c r="Z16" i="45"/>
  <c r="AE16" i="45" s="1"/>
  <c r="AI16" i="45" s="1"/>
  <c r="R16" i="45"/>
  <c r="L16" i="45"/>
  <c r="K16" i="45"/>
  <c r="P16" i="45" s="1"/>
  <c r="Z15" i="45"/>
  <c r="AE15" i="45" s="1"/>
  <c r="AI15" i="45" s="1"/>
  <c r="K15" i="45"/>
  <c r="P15" i="45" s="1"/>
  <c r="AA14" i="45"/>
  <c r="R14" i="45"/>
  <c r="Z14" i="45" s="1"/>
  <c r="AE14" i="45" s="1"/>
  <c r="AI14" i="45" s="1"/>
  <c r="L14" i="45"/>
  <c r="P14" i="45" s="1"/>
  <c r="K14" i="45"/>
  <c r="Z13" i="45"/>
  <c r="AE13" i="45" s="1"/>
  <c r="AI13" i="45" s="1"/>
  <c r="P13" i="45"/>
  <c r="L13" i="45"/>
  <c r="K13" i="45"/>
  <c r="R12" i="45"/>
  <c r="Z12" i="45" s="1"/>
  <c r="AE12" i="45" s="1"/>
  <c r="AI12" i="45" s="1"/>
  <c r="K12" i="45"/>
  <c r="P12" i="45" s="1"/>
  <c r="AA11" i="45"/>
  <c r="R11" i="45"/>
  <c r="Z11" i="45" s="1"/>
  <c r="AE11" i="45" s="1"/>
  <c r="AI11" i="45" s="1"/>
  <c r="L11" i="45"/>
  <c r="C11" i="45"/>
  <c r="K11" i="45" s="1"/>
  <c r="AA10" i="45"/>
  <c r="Z10" i="45"/>
  <c r="R10" i="45"/>
  <c r="L10" i="45"/>
  <c r="K10" i="45"/>
  <c r="P10" i="45" s="1"/>
  <c r="AG14" i="45" l="1"/>
  <c r="P20" i="45"/>
  <c r="AE23" i="45"/>
  <c r="AI23" i="45" s="1"/>
  <c r="AE25" i="45"/>
  <c r="AI25" i="45" s="1"/>
  <c r="AE30" i="45"/>
  <c r="AI30" i="45" s="1"/>
  <c r="C44" i="45"/>
  <c r="P24" i="45"/>
  <c r="AG24" i="45" s="1"/>
  <c r="AG15" i="45"/>
  <c r="P17" i="45"/>
  <c r="AG17" i="45" s="1"/>
  <c r="P19" i="45"/>
  <c r="AG19" i="45" s="1"/>
  <c r="AH44" i="45"/>
  <c r="AE24" i="45"/>
  <c r="AI24" i="45" s="1"/>
  <c r="AG16" i="45"/>
  <c r="AG23" i="45"/>
  <c r="L44" i="45"/>
  <c r="P18" i="45"/>
  <c r="AG18" i="45" s="1"/>
  <c r="AE21" i="45"/>
  <c r="AI21" i="45" s="1"/>
  <c r="P27" i="45"/>
  <c r="P30" i="45"/>
  <c r="AG30" i="45" s="1"/>
  <c r="P32" i="45"/>
  <c r="Z44" i="45"/>
  <c r="AE10" i="45"/>
  <c r="AG10" i="45" s="1"/>
  <c r="AG20" i="45"/>
  <c r="AA44" i="45"/>
  <c r="AG22" i="45"/>
  <c r="AG21" i="45"/>
  <c r="AG32" i="45"/>
  <c r="P11" i="45"/>
  <c r="AG12" i="45"/>
  <c r="AG13" i="45"/>
  <c r="AG25" i="45"/>
  <c r="AG26" i="45"/>
  <c r="AE27" i="45"/>
  <c r="AI27" i="45" s="1"/>
  <c r="AG31" i="45"/>
  <c r="R44" i="45"/>
  <c r="K44" i="45"/>
  <c r="AG11" i="45" l="1"/>
  <c r="P44" i="45"/>
  <c r="AG44" i="45"/>
  <c r="AI10" i="45"/>
  <c r="AI44" i="45" s="1"/>
  <c r="AE44" i="45"/>
  <c r="AG27" i="45"/>
  <c r="W34" i="60" l="1"/>
  <c r="V34" i="60"/>
  <c r="L34" i="60"/>
  <c r="K34" i="60"/>
  <c r="V32" i="60"/>
  <c r="K32" i="60"/>
  <c r="V30" i="60"/>
  <c r="K30" i="60"/>
  <c r="V28" i="60"/>
  <c r="K28" i="60"/>
  <c r="V26" i="60"/>
  <c r="M26" i="60"/>
  <c r="K26" i="60"/>
  <c r="V25" i="60"/>
  <c r="K25" i="60"/>
  <c r="V24" i="60"/>
  <c r="K24" i="60"/>
  <c r="V23" i="60"/>
  <c r="K23" i="60"/>
  <c r="V22" i="60"/>
  <c r="K22" i="60"/>
  <c r="V20" i="60"/>
  <c r="K20" i="60"/>
  <c r="V19" i="60"/>
  <c r="K19" i="60"/>
  <c r="M18" i="60"/>
  <c r="V18" i="60" s="1"/>
  <c r="K18" i="60"/>
  <c r="V17" i="60"/>
  <c r="K17" i="60"/>
  <c r="V15" i="60"/>
  <c r="K15" i="60"/>
  <c r="V14" i="60"/>
  <c r="K14" i="60"/>
  <c r="V13" i="60"/>
  <c r="K13" i="60"/>
  <c r="V12" i="60"/>
  <c r="K12" i="60"/>
  <c r="V11" i="60"/>
  <c r="K11" i="60"/>
  <c r="V10" i="60"/>
  <c r="K10" i="60"/>
  <c r="V9" i="60"/>
  <c r="K9" i="60"/>
  <c r="C48" i="57" l="1"/>
  <c r="E48" i="57"/>
  <c r="F48" i="57"/>
  <c r="G48" i="57"/>
  <c r="I48" i="57"/>
  <c r="J48" i="57"/>
  <c r="K48" i="57"/>
  <c r="L48" i="57"/>
  <c r="M48" i="57"/>
  <c r="N48" i="57"/>
  <c r="B48" i="57"/>
  <c r="H24" i="57"/>
  <c r="H23" i="57"/>
  <c r="H48" i="57" s="1"/>
  <c r="H16" i="57"/>
  <c r="H11" i="57"/>
  <c r="H10" i="57"/>
  <c r="D24" i="57"/>
  <c r="D23" i="57"/>
  <c r="D16" i="57"/>
  <c r="D11" i="57"/>
  <c r="D10" i="57"/>
  <c r="D48" i="57" s="1"/>
  <c r="P12" i="9"/>
  <c r="P20" i="9"/>
  <c r="D24" i="9"/>
  <c r="E24" i="9"/>
  <c r="F24" i="9"/>
  <c r="G24" i="9"/>
  <c r="I24" i="9"/>
  <c r="J24" i="9"/>
  <c r="K24" i="9"/>
  <c r="L24" i="9"/>
  <c r="N24" i="9"/>
  <c r="O24" i="9"/>
  <c r="C24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6" i="9"/>
  <c r="M7" i="9"/>
  <c r="P7" i="9" s="1"/>
  <c r="M8" i="9"/>
  <c r="M9" i="9"/>
  <c r="P9" i="9" s="1"/>
  <c r="M10" i="9"/>
  <c r="P10" i="9" s="1"/>
  <c r="M11" i="9"/>
  <c r="P11" i="9" s="1"/>
  <c r="M12" i="9"/>
  <c r="M13" i="9"/>
  <c r="P13" i="9" s="1"/>
  <c r="M14" i="9"/>
  <c r="P14" i="9" s="1"/>
  <c r="M15" i="9"/>
  <c r="P15" i="9" s="1"/>
  <c r="M16" i="9"/>
  <c r="M17" i="9"/>
  <c r="P17" i="9" s="1"/>
  <c r="M18" i="9"/>
  <c r="P18" i="9" s="1"/>
  <c r="M19" i="9"/>
  <c r="P19" i="9" s="1"/>
  <c r="M20" i="9"/>
  <c r="M21" i="9"/>
  <c r="P21" i="9" s="1"/>
  <c r="M22" i="9"/>
  <c r="P22" i="9" s="1"/>
  <c r="M23" i="9"/>
  <c r="P23" i="9" s="1"/>
  <c r="M6" i="9"/>
  <c r="H7" i="9"/>
  <c r="H8" i="9"/>
  <c r="P8" i="9" s="1"/>
  <c r="H9" i="9"/>
  <c r="H10" i="9"/>
  <c r="H11" i="9"/>
  <c r="H12" i="9"/>
  <c r="H13" i="9"/>
  <c r="H14" i="9"/>
  <c r="H15" i="9"/>
  <c r="H16" i="9"/>
  <c r="P16" i="9" s="1"/>
  <c r="H17" i="9"/>
  <c r="H18" i="9"/>
  <c r="H19" i="9"/>
  <c r="H20" i="9"/>
  <c r="H21" i="9"/>
  <c r="H22" i="9"/>
  <c r="H23" i="9"/>
  <c r="H6" i="9"/>
  <c r="H24" i="9" s="1"/>
  <c r="E106" i="21"/>
  <c r="E108" i="21" s="1"/>
  <c r="F106" i="21"/>
  <c r="F108" i="21" s="1"/>
  <c r="G106" i="21"/>
  <c r="H106" i="21"/>
  <c r="H108" i="21" s="1"/>
  <c r="I106" i="21"/>
  <c r="I108" i="21" s="1"/>
  <c r="J106" i="21"/>
  <c r="J108" i="21" s="1"/>
  <c r="K106" i="21"/>
  <c r="K108" i="21" s="1"/>
  <c r="L106" i="21"/>
  <c r="L108" i="21" s="1"/>
  <c r="D106" i="21"/>
  <c r="D108" i="21" s="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D105" i="21"/>
  <c r="P6" i="9" l="1"/>
  <c r="M24" i="9"/>
  <c r="P9" i="30"/>
  <c r="P5" i="30"/>
  <c r="N6" i="30"/>
  <c r="N7" i="30"/>
  <c r="N8" i="30"/>
  <c r="N9" i="30"/>
  <c r="N10" i="30"/>
  <c r="N5" i="30"/>
  <c r="I6" i="30"/>
  <c r="Q6" i="30" s="1"/>
  <c r="I7" i="30"/>
  <c r="Q7" i="30" s="1"/>
  <c r="I8" i="30"/>
  <c r="Q8" i="30" s="1"/>
  <c r="I9" i="30"/>
  <c r="Q9" i="30" s="1"/>
  <c r="I10" i="30"/>
  <c r="Q10" i="30" s="1"/>
  <c r="I11" i="30"/>
  <c r="Q11" i="30" s="1"/>
  <c r="I12" i="30"/>
  <c r="Q12" i="30" s="1"/>
  <c r="I13" i="30"/>
  <c r="Q13" i="30" s="1"/>
  <c r="I14" i="30"/>
  <c r="Q14" i="30" s="1"/>
  <c r="I15" i="30"/>
  <c r="Q15" i="30" s="1"/>
  <c r="I16" i="30"/>
  <c r="Q16" i="30" s="1"/>
  <c r="I17" i="30"/>
  <c r="Q17" i="30" s="1"/>
  <c r="I18" i="30"/>
  <c r="Q18" i="30" s="1"/>
  <c r="I19" i="30"/>
  <c r="Q19" i="30" s="1"/>
  <c r="I20" i="30"/>
  <c r="Q20" i="30" s="1"/>
  <c r="I21" i="30"/>
  <c r="Q21" i="30" s="1"/>
  <c r="I22" i="30"/>
  <c r="Q22" i="30" s="1"/>
  <c r="I23" i="30"/>
  <c r="Q23" i="30" s="1"/>
  <c r="I24" i="30"/>
  <c r="Q24" i="30" s="1"/>
  <c r="I25" i="30"/>
  <c r="Q25" i="30" s="1"/>
  <c r="I26" i="30"/>
  <c r="Q26" i="30" s="1"/>
  <c r="I27" i="30"/>
  <c r="Q27" i="30" s="1"/>
  <c r="I28" i="30"/>
  <c r="Q28" i="30" s="1"/>
  <c r="I29" i="30"/>
  <c r="Q29" i="30" s="1"/>
  <c r="I30" i="30"/>
  <c r="Q30" i="30" s="1"/>
  <c r="I31" i="30"/>
  <c r="Q31" i="30" s="1"/>
  <c r="I32" i="30"/>
  <c r="Q32" i="30" s="1"/>
  <c r="I33" i="30"/>
  <c r="Q33" i="30" s="1"/>
  <c r="I34" i="30"/>
  <c r="Q34" i="30" s="1"/>
  <c r="I35" i="30"/>
  <c r="Q35" i="30" s="1"/>
  <c r="I36" i="30"/>
  <c r="Q36" i="30" s="1"/>
  <c r="I5" i="30"/>
  <c r="Q5" i="30" s="1"/>
  <c r="C43" i="76"/>
  <c r="D43" i="76"/>
  <c r="B43" i="76"/>
  <c r="D11" i="70"/>
  <c r="D16" i="70"/>
  <c r="D4" i="70"/>
  <c r="B123" i="76"/>
  <c r="C19" i="73"/>
  <c r="D19" i="73"/>
  <c r="B19" i="73"/>
  <c r="C13" i="73"/>
  <c r="D13" i="73"/>
  <c r="B13" i="73"/>
  <c r="C7" i="73"/>
  <c r="D7" i="73"/>
  <c r="B7" i="73"/>
  <c r="D50" i="70"/>
  <c r="D52" i="70" s="1"/>
  <c r="D45" i="70"/>
  <c r="D38" i="70"/>
  <c r="C50" i="70"/>
  <c r="C45" i="70"/>
  <c r="B50" i="70"/>
  <c r="B52" i="70" s="1"/>
  <c r="B45" i="70"/>
  <c r="C38" i="70"/>
  <c r="B38" i="70"/>
  <c r="C33" i="70"/>
  <c r="C35" i="70" s="1"/>
  <c r="D33" i="70"/>
  <c r="D35" i="70" s="1"/>
  <c r="B33" i="70"/>
  <c r="B35" i="70" s="1"/>
  <c r="C28" i="70"/>
  <c r="D28" i="70"/>
  <c r="B28" i="70"/>
  <c r="C21" i="70"/>
  <c r="D21" i="70"/>
  <c r="B21" i="70"/>
  <c r="B18" i="70"/>
  <c r="C16" i="70"/>
  <c r="C18" i="70" s="1"/>
  <c r="C11" i="70"/>
  <c r="C4" i="70"/>
  <c r="B16" i="70"/>
  <c r="B11" i="70"/>
  <c r="B4" i="70"/>
  <c r="C123" i="76"/>
  <c r="C83" i="76"/>
  <c r="B83" i="76"/>
  <c r="D123" i="76"/>
  <c r="D83" i="76"/>
  <c r="M37" i="30"/>
  <c r="O37" i="30"/>
  <c r="J37" i="30"/>
  <c r="K37" i="30"/>
  <c r="L37" i="30"/>
  <c r="E37" i="30"/>
  <c r="F37" i="30"/>
  <c r="G37" i="30"/>
  <c r="H37" i="30"/>
  <c r="D37" i="30"/>
  <c r="Q37" i="30" l="1"/>
  <c r="R19" i="30" s="1"/>
  <c r="P37" i="30"/>
  <c r="P24" i="9"/>
  <c r="C52" i="70"/>
  <c r="N37" i="30"/>
  <c r="I37" i="30"/>
  <c r="D18" i="70"/>
  <c r="R16" i="30" l="1"/>
  <c r="R28" i="30"/>
  <c r="R11" i="30"/>
  <c r="R7" i="30"/>
  <c r="R17" i="30"/>
  <c r="R34" i="30"/>
  <c r="R36" i="30"/>
  <c r="R9" i="30"/>
  <c r="R15" i="30"/>
  <c r="R20" i="30"/>
  <c r="R26" i="30"/>
  <c r="R5" i="30"/>
  <c r="R27" i="30"/>
  <c r="R8" i="30"/>
  <c r="R35" i="30"/>
  <c r="R29" i="30"/>
  <c r="Q8" i="9"/>
  <c r="Q10" i="9"/>
  <c r="Q13" i="9"/>
  <c r="Q15" i="9"/>
  <c r="R32" i="30"/>
  <c r="R6" i="30"/>
  <c r="R25" i="30"/>
  <c r="Q6" i="9"/>
  <c r="Q24" i="9" s="1"/>
  <c r="R10" i="30"/>
  <c r="R14" i="30"/>
  <c r="R23" i="30"/>
  <c r="R33" i="30"/>
  <c r="R13" i="30"/>
  <c r="R22" i="30"/>
  <c r="R31" i="30"/>
  <c r="R18" i="30"/>
  <c r="R12" i="30"/>
  <c r="R21" i="30"/>
  <c r="R30" i="30"/>
  <c r="R24" i="30"/>
  <c r="R37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pcuba</author>
  </authors>
  <commentList>
    <comment ref="D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
Nombre del Indicador</t>
        </r>
      </text>
    </comment>
  </commentList>
</comments>
</file>

<file path=xl/sharedStrings.xml><?xml version="1.0" encoding="utf-8"?>
<sst xmlns="http://schemas.openxmlformats.org/spreadsheetml/2006/main" count="1133" uniqueCount="679">
  <si>
    <t>TOTAL</t>
  </si>
  <si>
    <t>RECURSOS PUBLICOS</t>
  </si>
  <si>
    <t>MONTO</t>
  </si>
  <si>
    <t>F-8</t>
  </si>
  <si>
    <t>PROFESIONALES</t>
  </si>
  <si>
    <t>TECNICOS</t>
  </si>
  <si>
    <t>AUXILIARES</t>
  </si>
  <si>
    <t>DIRECTIVOS/FUNCIONARIOS</t>
  </si>
  <si>
    <t>FUENTE DE FINANCIAMIENTO</t>
  </si>
  <si>
    <t xml:space="preserve"> REMUNERATIVA</t>
  </si>
  <si>
    <t>CATEGORIA</t>
  </si>
  <si>
    <t>PEA</t>
  </si>
  <si>
    <t>SPA</t>
  </si>
  <si>
    <t>STA</t>
  </si>
  <si>
    <t>STE</t>
  </si>
  <si>
    <t>SAA</t>
  </si>
  <si>
    <t>S/.</t>
  </si>
  <si>
    <t>Est. %</t>
  </si>
  <si>
    <t>EST. %</t>
  </si>
  <si>
    <t>GASTOS CORRIENTES */</t>
  </si>
  <si>
    <t>OTROS</t>
  </si>
  <si>
    <t>COSTO ANUAL</t>
  </si>
  <si>
    <t>OBLIGACIONES DEL EMPLEADOR (CARGAS SOCIALES)</t>
  </si>
  <si>
    <t>GASTOS VARIABLES Y OCASIONALES</t>
  </si>
  <si>
    <t>TRANSFERENCIAS CAFAE</t>
  </si>
  <si>
    <t>RUBROS</t>
  </si>
  <si>
    <t>NUEVOS SOLES</t>
  </si>
  <si>
    <t>CONSULTORIAS</t>
  </si>
  <si>
    <t xml:space="preserve">TOTAL </t>
  </si>
  <si>
    <t>1. RECURSOS ORDINARIOS</t>
  </si>
  <si>
    <t>2. RECURSOS DIRECTAM. RECAUD.</t>
  </si>
  <si>
    <t>3.- RECURSOS OPERACIONES</t>
  </si>
  <si>
    <t>4. DONACIONES Y TRANSFERENCIAS</t>
  </si>
  <si>
    <t>5. RECURSOS DETERMINADOS</t>
  </si>
  <si>
    <t xml:space="preserve">    - CONTRIBUCIONES A FONDOS</t>
  </si>
  <si>
    <t xml:space="preserve">    - FONDO DE COMPENCIÓN MUNICIPAL</t>
  </si>
  <si>
    <t xml:space="preserve">    - IMPUESTOS MUNICIPALES</t>
  </si>
  <si>
    <t xml:space="preserve">    - CANON  Y  SOBRECANON, REGALIAS</t>
  </si>
  <si>
    <t xml:space="preserve">       Y PARTICIPACIONES</t>
  </si>
  <si>
    <t>TOTAL    (*)</t>
  </si>
  <si>
    <t>(PIA) = Presupuesto Institucional de Apertura</t>
  </si>
  <si>
    <t>TIPO DE ESTUDIO Y/O INFORME (*)</t>
  </si>
  <si>
    <t>(*) EL PRODUCTO QUE SE ADQUIERE</t>
  </si>
  <si>
    <t>NIVELES REMUNERATIVOS</t>
  </si>
  <si>
    <t>(1)</t>
  </si>
  <si>
    <t>(2)</t>
  </si>
  <si>
    <t>(3)</t>
  </si>
  <si>
    <t>(4)</t>
  </si>
  <si>
    <t>(5)</t>
  </si>
  <si>
    <t>(6)</t>
  </si>
  <si>
    <t>CARRERA ADMINISTRATIVA</t>
  </si>
  <si>
    <t>NOTAS</t>
  </si>
  <si>
    <t xml:space="preserve">(1) PEA: </t>
  </si>
  <si>
    <t xml:space="preserve">(2) REMUNERACION: </t>
  </si>
  <si>
    <t xml:space="preserve">SE CONSIGNARA LA REMUNERACION MENSUAL PROMEDIO DE UN SERVIDOR EN CADA NIVEL DE LA CARRERA PUBLICA SEGUN CORRESPONDA </t>
  </si>
  <si>
    <t xml:space="preserve">(3) CAFAE: </t>
  </si>
  <si>
    <t xml:space="preserve">SE CONSIGNARA EL  INCENTIVO LABORAL  MENSUAL PROMEDIO QUE POR DISPOSICION EXPRESA SE LE OTORGUE A UN SERVIDOR EN CADA NIVEL SEGUN CORRESPONDA </t>
  </si>
  <si>
    <t xml:space="preserve">(4) AETA: </t>
  </si>
  <si>
    <t xml:space="preserve">SOLO APLICABLE AL SECTOR SALUD. SE CONSIGNARA LA ASIGNACION EXTRAORDINARIA POR TRABAJO ASISTENCIAL  MENSUAL PROMEDIO DE UN SERVIDOR EN CADA NIVEL </t>
  </si>
  <si>
    <t xml:space="preserve">SEGUN CORRESPONDA </t>
  </si>
  <si>
    <t xml:space="preserve">(5) OTROS BENEFICIOS - ASIGNACION MENSUAL </t>
  </si>
  <si>
    <t xml:space="preserve">RUBROS ANTERIORES . EN HOJA INDEPENDIENTES SE DETALLARA CADA CONCEPTO Y MONTO, ASI COMO LA DISPOSICION EXPRESA QUE LOS AUTORICE Y LA PERIODICIDAD CON QUE </t>
  </si>
  <si>
    <t xml:space="preserve">SE OTORGA . DEBERA DETALLAR POR CADA CONCEPTO ASI COMO LA DISPOSICION EXPRESA QUE LOS AUTORICE Y LA PERIODICIDAD CON QUE SE OTORGA (MENSUAL, BIMENSUAL, </t>
  </si>
  <si>
    <t>TRIMESTRAL , CUATRIMENSUAL)</t>
  </si>
  <si>
    <t>(7)</t>
  </si>
  <si>
    <t>ADQUISICIONES/CONTRATACIONES/OBRAS</t>
  </si>
  <si>
    <t>FECHA PROG. CONV.</t>
  </si>
  <si>
    <t xml:space="preserve">    - OTROS (ESPECIFICAR)</t>
  </si>
  <si>
    <t>TOTAL SECTOR</t>
  </si>
  <si>
    <t>PROYECTO</t>
  </si>
  <si>
    <t>CODIGO SNIP</t>
  </si>
  <si>
    <t>TIPO DE PROCESO DE SELECCIÓN</t>
  </si>
  <si>
    <t>ADQUISICIÓN</t>
  </si>
  <si>
    <t>OBSERVACIONES</t>
  </si>
  <si>
    <t>ESTADO DEL PROCESO</t>
  </si>
  <si>
    <t>PART. %</t>
  </si>
  <si>
    <t xml:space="preserve">       OFICIALES DE CREDITO</t>
  </si>
  <si>
    <t>SERVICIO DE DEUDA</t>
  </si>
  <si>
    <t>(**) PNUD, BONOS, etc.</t>
  </si>
  <si>
    <t xml:space="preserve"> </t>
  </si>
  <si>
    <t>FAG</t>
  </si>
  <si>
    <t>TIPO DE CONTRATO</t>
  </si>
  <si>
    <t>PNUD</t>
  </si>
  <si>
    <t>CAS</t>
  </si>
  <si>
    <t>SNP</t>
  </si>
  <si>
    <t>…</t>
  </si>
  <si>
    <t>PLIEGO</t>
  </si>
  <si>
    <t>UNIDAD EJECUTORA</t>
  </si>
  <si>
    <t xml:space="preserve">OTROS </t>
  </si>
  <si>
    <t>FUNCIÓN DESEMPEÑADA</t>
  </si>
  <si>
    <t>SUB TOTAL GASTOS CORRIENTES</t>
  </si>
  <si>
    <t>SUB TOTAL GASTOS DE CAPITAL</t>
  </si>
  <si>
    <t>SUB TOTAL SERVICIO DE DEUDA</t>
  </si>
  <si>
    <t>GASTOS DE CAPITAL</t>
  </si>
  <si>
    <t>1: Reserva de Contingencia</t>
  </si>
  <si>
    <t>2: Personal y Obligaciones Sociales</t>
  </si>
  <si>
    <t>3: Pensiones y Prestaciones Sociales</t>
  </si>
  <si>
    <t>4: Bienes y Servicios</t>
  </si>
  <si>
    <t>5: Donaciones y Transferencias</t>
  </si>
  <si>
    <t>6: Otros Gastos</t>
  </si>
  <si>
    <t>7: Donaciones y Transferencias</t>
  </si>
  <si>
    <t>8: Otros Gastos</t>
  </si>
  <si>
    <t>9: Adquisiciones de Activos No Financieros</t>
  </si>
  <si>
    <t>10: Adquisiciones de Activos Financieros</t>
  </si>
  <si>
    <t>11: Servicio de la Deuda</t>
  </si>
  <si>
    <t>GASTOS CORRIENTES</t>
  </si>
  <si>
    <t>TRIMESTRAL , CUATRIMENSUAL  O SIN PERIODICIDAD)</t>
  </si>
  <si>
    <t>(8)</t>
  </si>
  <si>
    <t>SUB TOTAL OTROS BENEFICIOS ... (no, mensuales, monto anual)</t>
  </si>
  <si>
    <t>ESPECIALIDAD (**)</t>
  </si>
  <si>
    <t>(**) LA ESPECIALIDAD TOMANDO ENCUENTA HACIENDO REFERENCIA UNA O MAS DE LAS 25 FUNCIONES DEL CLASIFICADOR FUNCIONAL PROGRAMATICO</t>
  </si>
  <si>
    <t xml:space="preserve">CONTRAPRESTACIÓN MENSUAL </t>
  </si>
  <si>
    <t>FUNCIONES</t>
  </si>
  <si>
    <t>PPTO (PIA)</t>
  </si>
  <si>
    <t>1 Legislativa</t>
  </si>
  <si>
    <t>2 Relaciones Exteriores</t>
  </si>
  <si>
    <t>3 Planeam. Gestión y Reserva</t>
  </si>
  <si>
    <t>Decreto Legislativo 728 (Regimen Privado)</t>
  </si>
  <si>
    <t>DNI</t>
  </si>
  <si>
    <t>Apellidos y Nombres</t>
  </si>
  <si>
    <t>Numero de contratos o renovaciones</t>
  </si>
  <si>
    <t>Meses Ejecutados</t>
  </si>
  <si>
    <t>Monto Ejecutado</t>
  </si>
  <si>
    <t>Titulo Profesióonal, Técncio o Capacitación Ocupacional</t>
  </si>
  <si>
    <t>Fuente de Información</t>
  </si>
  <si>
    <t>7: Donaciones y Transferencias (de capital)</t>
  </si>
  <si>
    <t>5: Donaciones y Transferencias (corrientes)</t>
  </si>
  <si>
    <t>6: Otros Gastos (corrientes)</t>
  </si>
  <si>
    <t>8: Otros Gastos (de capital)</t>
  </si>
  <si>
    <t>TOTAL GASTOS UNIDAD EJECUTORA / ENTIDAD PÚBLICA</t>
  </si>
  <si>
    <t>CONTRATANTE</t>
  </si>
  <si>
    <t>CONTRATADO</t>
  </si>
  <si>
    <t>COSTO TOTAL EN PLANILLAS (*)</t>
  </si>
  <si>
    <t>Profesión</t>
  </si>
  <si>
    <t>Grado Academico</t>
  </si>
  <si>
    <t>PEA / Beneficiarios</t>
  </si>
  <si>
    <t>REMUNERACION MENSUAL (cada persona)</t>
  </si>
  <si>
    <t>CAFAE MENSUL (cada persona)</t>
  </si>
  <si>
    <t>AETA MENSUAL (cada persona)</t>
  </si>
  <si>
    <t>OTROS INGRESOS MENSUAL (cada persona)</t>
  </si>
  <si>
    <t>SUB TOTAL INGRESOS MENSUALES (cada persona)</t>
  </si>
  <si>
    <t>AGUINALDOS, GRAFICACIONES Y ESCOLARIDAD (anual cada persona)</t>
  </si>
  <si>
    <r>
      <rPr>
        <b/>
        <sz val="9"/>
        <rFont val="Arial"/>
        <family val="2"/>
      </rPr>
      <t xml:space="preserve">LAS COLUMNAS COMO SEAN NECESARIAS, </t>
    </r>
    <r>
      <rPr>
        <sz val="9"/>
        <rFont val="Arial"/>
        <family val="2"/>
      </rPr>
      <t xml:space="preserve">SE CONSIGNARA LOS OTROS BENEFICIOS - ASIGNACIONES MENSUALES PERIODICOS  DE UN SERVIDOR EN CADA NIVEL SEGÚN CORRESPONDA NO CONSIGNADO EN LOS </t>
    </r>
  </si>
  <si>
    <r>
      <rPr>
        <b/>
        <sz val="9"/>
        <rFont val="Arial"/>
        <family val="2"/>
      </rPr>
      <t xml:space="preserve">LAS COLUMNAS COMO SEAN NECESARIAS, </t>
    </r>
    <r>
      <rPr>
        <sz val="9"/>
        <rFont val="Arial"/>
        <family val="2"/>
      </rPr>
      <t xml:space="preserve">SE CONSIGNARA LOS OTROS BENEFICIOS - ASIGNACIONES PERIODICOS O NO PERIODICAS DE UN SERVIDOR EN CADA NIVEL SEGÚN CORRESPONDA NO CONSIGNADO EN LOS </t>
    </r>
  </si>
  <si>
    <t>(9)</t>
  </si>
  <si>
    <t>TOTAL INGRESO ANUAL PEA</t>
  </si>
  <si>
    <t>TOTAL INGRESOS ANUAL POR PERSONA</t>
  </si>
  <si>
    <t>MONTO ANUAL</t>
  </si>
  <si>
    <t>(10)</t>
  </si>
  <si>
    <t>DIFERENCIA INGRESO ANUAL PEA</t>
  </si>
  <si>
    <t xml:space="preserve">DIFERENCIA INGRESO ANUAL POR PERSONAL </t>
  </si>
  <si>
    <t>SE CONSIGNARA EL NUMERO TOTAL DE PERSONAL ACTIVO ( NOMBRADO Y CONTRATADO) SEGÚN EL PRESUPUESTO ANILITOCO DE PERSONAL (PAP) APROBADO</t>
  </si>
  <si>
    <t>(**) Recursos Públicos / Recursos Ordinarios / Recursos Directamente Recaudados / Donaciones  y  Transferencias / Operaciones Oficiales de Crédito/ Recursos Determinados</t>
  </si>
  <si>
    <t>SECTOR O GOB. REGIONAL:</t>
  </si>
  <si>
    <t>FECHA DE SUSCRIPCION DEL CONTRATO</t>
  </si>
  <si>
    <t>FECHA DE VENCIMIENTO DEL PLAZO</t>
  </si>
  <si>
    <t>PLAZO DE EJEUCION DE OBRAS</t>
  </si>
  <si>
    <t>AMPLIACION DE PLAZO</t>
  </si>
  <si>
    <t>FECHA DE VENCIMIENTO DE PLAZO</t>
  </si>
  <si>
    <t>FECHA DE ENTREGA</t>
  </si>
  <si>
    <t>FECHA DE CONFORMIDAD DE OBRA</t>
  </si>
  <si>
    <t>VESTUARIO</t>
  </si>
  <si>
    <t>BONOS POR FUNCION JURIDICCIONAL Y FISCAL</t>
  </si>
  <si>
    <t>ESCOLARIDAD, AGUINALDO Y GRATIFICACIONES</t>
  </si>
  <si>
    <t>BONIFICACIÓN EXTRAORDINARIA (INACEPTACIÓN DE GRATIFICACIONES)</t>
  </si>
  <si>
    <t>DIETAS</t>
  </si>
  <si>
    <t>RETRIBUCIONES EN BIENES</t>
  </si>
  <si>
    <t>MOVILIDAD PARA TRASLADO DE TRABAJADORES</t>
  </si>
  <si>
    <t>PRODUCTIVIDAD</t>
  </si>
  <si>
    <t>SEGUROS (ESPECIFICAR)</t>
  </si>
  <si>
    <t>GASTOS POR ESTACIONAMIENTO DE VEHICULOS</t>
  </si>
  <si>
    <t>DIETA DE DIRECTORIO</t>
  </si>
  <si>
    <t>OTROS INGRESOS NO MENSUALES 
(anual cada personal)</t>
  </si>
  <si>
    <t>INCENTIVOS O PRODUCTIVIDAD (cada persona)</t>
  </si>
  <si>
    <t>MOVILIDAD</t>
  </si>
  <si>
    <t>RACIONAMIENTO</t>
  </si>
  <si>
    <t>BONOS</t>
  </si>
  <si>
    <t>(10) SUB TOTAL</t>
  </si>
  <si>
    <t>SUMATORIA DE LAS COLUMNAS (2), (3), (4), (5), (6), (7), (8), (9)</t>
  </si>
  <si>
    <t>(11) AGUINALDOS, GRAFICACIONES Y ESCOLARIDAD</t>
  </si>
  <si>
    <t>(12) OTROS BENEFICIOS - ASIGNACION ANUAL</t>
  </si>
  <si>
    <t>(11)</t>
  </si>
  <si>
    <t>(12)</t>
  </si>
  <si>
    <t xml:space="preserve">MULTIMPLACIÓN DE LA COLUMNA (10) POR 12 (MESES) Y AL RESULTADO SE SUMA LA COLUMNA (13) </t>
  </si>
  <si>
    <t>(13)</t>
  </si>
  <si>
    <t>(14)</t>
  </si>
  <si>
    <t>(15)</t>
  </si>
  <si>
    <t>(14) TOTAL INGRESOS ANUAL POR PERSONA</t>
  </si>
  <si>
    <t>(15) TOTAL ANUAL PEA</t>
  </si>
  <si>
    <t>(13) SUB TOTAL OTROS BENEFICIOS</t>
  </si>
  <si>
    <t>SUMATORIA DE LAS COLUMNAS (11) Y (12)</t>
  </si>
  <si>
    <t>MULTIPLICACIÓN DEL A COMUNTA (1) POR LA COLUMNA (14)</t>
  </si>
  <si>
    <t>CONTRATISTA (RUC y Denominacion)</t>
  </si>
  <si>
    <t>MODALIDAD</t>
  </si>
  <si>
    <t>NUMERO DEL PROCESO</t>
  </si>
  <si>
    <t>PROGRAMAS SOCIALES</t>
  </si>
  <si>
    <t>JUNTOS</t>
  </si>
  <si>
    <t>SMN</t>
  </si>
  <si>
    <t>Mortalidad Neonatal</t>
  </si>
  <si>
    <t>II.  GESTACIÓN</t>
  </si>
  <si>
    <t>CUNA MAS</t>
  </si>
  <si>
    <t>Desnutrición Cronica</t>
  </si>
  <si>
    <t>Mortalidad Infantil</t>
  </si>
  <si>
    <t>Desarrollo cognitivo, lenguaje, socioemocional y motor</t>
  </si>
  <si>
    <t>PELA</t>
  </si>
  <si>
    <t>Logros de aprendizaje</t>
  </si>
  <si>
    <t>Cobertura escolar</t>
  </si>
  <si>
    <t>PELA Primaria</t>
  </si>
  <si>
    <t>PELA Secundaria</t>
  </si>
  <si>
    <t>Logros de aprindizaje</t>
  </si>
  <si>
    <t>Deserción escolar</t>
  </si>
  <si>
    <t>Jovenes a la obra</t>
  </si>
  <si>
    <t>Beca 18</t>
  </si>
  <si>
    <t>Acceso a la educación superior de calidad</t>
  </si>
  <si>
    <t>Educacion pertienente para el mercado laboral</t>
  </si>
  <si>
    <t>Pensión 65</t>
  </si>
  <si>
    <t>Asegurar las condiciones básicas para la subsistencia</t>
  </si>
  <si>
    <t>III.  De 0 a 2 AÑOS</t>
  </si>
  <si>
    <t>IV. DE 3 A 5 AÑOS</t>
  </si>
  <si>
    <t>V. DE 6 A 12 AÑOS</t>
  </si>
  <si>
    <t>VI. DE 13 A 17 AÑOS</t>
  </si>
  <si>
    <t>VII. DE 17 A 24 AÑOS</t>
  </si>
  <si>
    <t>VIII. DE 65 A MAS</t>
  </si>
  <si>
    <t>I.  DE GESTANTES A NIÑOS DE HASTA 14 AÑOS</t>
  </si>
  <si>
    <t>BENEFICIARIOS</t>
  </si>
  <si>
    <t>PRESUPUESTO PIA</t>
  </si>
  <si>
    <t>PRESUPUESTO PIM</t>
  </si>
  <si>
    <t>MONTO PRESUPUESTADO (*)</t>
  </si>
  <si>
    <t>0: Reserva de Contingencia</t>
  </si>
  <si>
    <t>1: Personal y Obligaciones Sociales</t>
  </si>
  <si>
    <t>2: Pensiones y Prestaciones Sociales</t>
  </si>
  <si>
    <t>3: Bienes y Servicios</t>
  </si>
  <si>
    <t>4: Donaciones y Transferencias</t>
  </si>
  <si>
    <t>5: Otros Gastos</t>
  </si>
  <si>
    <t>6: Adquisiciones de Activos No Financieros</t>
  </si>
  <si>
    <t>7: Adquisiciones de Activos Financieros</t>
  </si>
  <si>
    <t>8: Servicio de la Deuda</t>
  </si>
  <si>
    <t>4 Defensa y Seg. Nacional</t>
  </si>
  <si>
    <t>5 Orden Púb. y Seguridad</t>
  </si>
  <si>
    <t>6 Justicia</t>
  </si>
  <si>
    <t>7 Trabajo</t>
  </si>
  <si>
    <t>8 Comercio</t>
  </si>
  <si>
    <t>9 Turismo</t>
  </si>
  <si>
    <t>10 Agropecuaria</t>
  </si>
  <si>
    <t>11 Pesca</t>
  </si>
  <si>
    <t>12 Energía</t>
  </si>
  <si>
    <t>13 Mineria</t>
  </si>
  <si>
    <t>14 Industria</t>
  </si>
  <si>
    <t>15 Transporte</t>
  </si>
  <si>
    <t>16 Comunicaciones</t>
  </si>
  <si>
    <t>17 Ambiente</t>
  </si>
  <si>
    <t>18 aneamiento</t>
  </si>
  <si>
    <t>19 Vivienda y Des. Urbano</t>
  </si>
  <si>
    <t>20 Salud</t>
  </si>
  <si>
    <t>21 Cultura y Deporte</t>
  </si>
  <si>
    <t>22 Educación</t>
  </si>
  <si>
    <t>23 Protección Social</t>
  </si>
  <si>
    <t>24 Previsión Social</t>
  </si>
  <si>
    <t>25 Deuda Pública</t>
  </si>
  <si>
    <t>CAFAE MENSUAL (cada persona)</t>
  </si>
  <si>
    <t>Linea Base</t>
  </si>
  <si>
    <t>Meta 2021</t>
  </si>
  <si>
    <t>Responsable</t>
  </si>
  <si>
    <t>Resultado</t>
  </si>
  <si>
    <t>Proyectado</t>
  </si>
  <si>
    <t>Meta</t>
  </si>
  <si>
    <t>UNIDADES EJECUTORAS O ENTIDADES PÚBLICAS ADSCRITAS AL SECTOR</t>
  </si>
  <si>
    <t>RESERVA DE CONTINGENCIA</t>
  </si>
  <si>
    <t>PERSONAL Y OBLIGAC. SOC.</t>
  </si>
  <si>
    <t>PENSIONES Y PREST. SOC.</t>
  </si>
  <si>
    <t>BIENES Y SERVICIOS</t>
  </si>
  <si>
    <t>DONACIONES TRANSFER.</t>
  </si>
  <si>
    <t>OTROS GASTOS</t>
  </si>
  <si>
    <t>SUB TOTAL GASTO CTE</t>
  </si>
  <si>
    <t>DONACIONES Y TRANSFER,</t>
  </si>
  <si>
    <t>ADQUIS. ACT. NO FINANC.</t>
  </si>
  <si>
    <t>ADQUIS. ACT. FINANC.</t>
  </si>
  <si>
    <t>SUB TOTAL GASTOS CAP.</t>
  </si>
  <si>
    <t xml:space="preserve">SERVICIO DE DEUDA </t>
  </si>
  <si>
    <t>SUB TOTAL SER. DEUDA</t>
  </si>
  <si>
    <t>Ley 30057 
(Ley del Servicio Civil)</t>
  </si>
  <si>
    <t>001</t>
  </si>
  <si>
    <t>002</t>
  </si>
  <si>
    <t>003</t>
  </si>
  <si>
    <t>005</t>
  </si>
  <si>
    <t>004</t>
  </si>
  <si>
    <t>PLIEGOS DEL SECTOR O GOBIERNO REGIONAL</t>
  </si>
  <si>
    <t>PLIEGO O ENTIDAD DEL SECTOR</t>
  </si>
  <si>
    <t>Nombre del Indicador</t>
  </si>
  <si>
    <t>Objetivo Estrategico Institucional
(Código y Enunciado)</t>
  </si>
  <si>
    <t>Objetivo Estrategico Sectorial
(Código)</t>
  </si>
  <si>
    <t>Decreto Legislativo 1057 (Contrato Administrativo de Servicios</t>
  </si>
  <si>
    <t>Decreto Legislativo 1024 (Gerentes Públicos) (**)</t>
  </si>
  <si>
    <t>Ley 25650 (Fondo de Apoyo Generencial) (**)</t>
  </si>
  <si>
    <t>Ley 29806 (Personal Altamente Calificado) (**)</t>
  </si>
  <si>
    <t>Otros Servidores (especificar) (**) (***)</t>
  </si>
  <si>
    <t xml:space="preserve">Total </t>
  </si>
  <si>
    <t>S/ (****)</t>
  </si>
  <si>
    <t>S/ Anual (****)</t>
  </si>
  <si>
    <t>Practicantes (***)</t>
  </si>
  <si>
    <t>ARRENDATARIO</t>
  </si>
  <si>
    <t>ARRENDADOR</t>
  </si>
  <si>
    <t>DNI O PARTIDA REGISTRAL</t>
  </si>
  <si>
    <t>Apellidos y Nombres o Denominación</t>
  </si>
  <si>
    <t>INMUEBLE</t>
  </si>
  <si>
    <t>CONTRATO</t>
  </si>
  <si>
    <t>VIGENCIA DEL CONTRATO</t>
  </si>
  <si>
    <t>MONTO MENSUAL</t>
  </si>
  <si>
    <t>BIEN PROPIO DE TERCEROS O AJENO</t>
  </si>
  <si>
    <t>PARTIDA REGISTRAL DE INCRIPCION DE PROPIEDAD</t>
  </si>
  <si>
    <t>METROS CUADRADOS</t>
  </si>
  <si>
    <t>COCHERAS</t>
  </si>
  <si>
    <t xml:space="preserve">FORMA DE PAGO (MENSUAL O ANUAL) Y FECHA DE PAGO </t>
  </si>
  <si>
    <t>PIA TOTAL S/</t>
  </si>
  <si>
    <t>PIM TOTAL S/</t>
  </si>
  <si>
    <t>EJECUCIÓN TOTAL S/</t>
  </si>
  <si>
    <t>EJECUCIÓN 
POR FUENTE DE FINANCIAMIENTO</t>
  </si>
  <si>
    <t>PIM 
POR FUENTE DE FINANCIAMIENTO</t>
  </si>
  <si>
    <t>PIA 
POR FUENTE DE FINANCIAMIENTO</t>
  </si>
  <si>
    <t>1: Acciones Centrales (AC)</t>
  </si>
  <si>
    <t>2: Asignaciones Presupuestarias que No Resultan en Productos (APNP)</t>
  </si>
  <si>
    <t>3: Programas Presupuestales</t>
  </si>
  <si>
    <t>PIA
POR CATEGORIA PRESUPUESTAL</t>
  </si>
  <si>
    <t>PIM
POR CATEGORIA PRESUPUESTAL</t>
  </si>
  <si>
    <t>EJECUCIÓN
POR CATEGORIA PRESUPUESTAL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</si>
  <si>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</si>
  <si>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</si>
  <si>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</si>
  <si>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</si>
  <si>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</si>
  <si>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</si>
  <si>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0030: Reduccion De Delitos Y Faltas Que Afectan La Seguridad Ciudadana</t>
  </si>
  <si>
    <t>0145: Mejora De La Calidad Del Servicio Electrico</t>
  </si>
  <si>
    <t>0146: Acceso De Las Familias A Vivienda Y Entorno Urbano Adecuado</t>
  </si>
  <si>
    <t>0147: Fortalecimiento De La Educacion Superior Tecnologica</t>
  </si>
  <si>
    <t>0148: Reduccion Del Tiempo, Inseguridad Y Costo Ambiental En El Transporte Urbano</t>
  </si>
  <si>
    <t>0149: Mejora Del Desempeño En Las Contrataciones Publicas</t>
  </si>
  <si>
    <t>PIA
POR PROGRAMA PRESUPUESTAL</t>
  </si>
  <si>
    <t>PIM
POR PROGRAMA PRESUPUESTAL</t>
  </si>
  <si>
    <t>EJECUCIÓN
POR PROGRAMA PRESUPUESTAL</t>
  </si>
  <si>
    <t>FORMATO 01: INDICADORES DE GESTIÓN SEGÚN OBJETIVOS ESTRATÉGICOS INSTITUCIONALES AL 2021</t>
  </si>
  <si>
    <t>SECTOR o GOB. REGIONAL:</t>
  </si>
  <si>
    <r>
      <t xml:space="preserve">PLIEGO: </t>
    </r>
    <r>
      <rPr>
        <sz val="10"/>
        <rFont val="Arial"/>
        <family val="2"/>
      </rPr>
      <t>Todos los pliegos del sector y cada pliego del sector</t>
    </r>
  </si>
  <si>
    <t>Decreto Legislativo 276 (Regimen Público)</t>
  </si>
  <si>
    <t>VARIACION 2019-2020</t>
  </si>
  <si>
    <t>2019 (PIA)</t>
  </si>
  <si>
    <t>(*) DEBE COINCIDIR CON LOS MONTOS ASIGNADOS EN LA GENERICA 1. PERSONAL Y OBLIGACIONES SOCIALES CONSIDERADAS EN EL PRESUPUESTO</t>
  </si>
  <si>
    <r>
      <t xml:space="preserve">PLIEGO: </t>
    </r>
    <r>
      <rPr>
        <sz val="9"/>
        <rFont val="Arial"/>
        <family val="2"/>
      </rPr>
      <t>Todos los pliego del sector y cada pliego del sector</t>
    </r>
  </si>
  <si>
    <t>INGRESOS PERSONAL PRESUPUESTO 2019</t>
  </si>
  <si>
    <t>TOTAL INGRESO ANUAL PEA (Proyección al 31 de diciembre de 2020)</t>
  </si>
  <si>
    <t>PPTO 2019 
(PIA)</t>
  </si>
  <si>
    <t>Diferencia PIA (2019-2020)</t>
  </si>
  <si>
    <t>Variación % (2019-2020)</t>
  </si>
  <si>
    <t>(*) DEBE COINCIDIR CON LOS MONTOS ASIGNADOS EN LA GENERICA 3. BIENES Y SERVICIOS CONSIDERADAS EN EL PRESUPUESTO 2018 - 2019 - 2020</t>
  </si>
  <si>
    <t>EJECUCIÓN S/</t>
  </si>
  <si>
    <t>PPTO 2019 (AL 30/06)</t>
  </si>
  <si>
    <t>PPTO 2019 (PROYECCI{ON 31/12)</t>
  </si>
  <si>
    <t>(*) Una línea por cada año fiscal, consignado en monto presupuestado por cada año presupuestal</t>
  </si>
  <si>
    <t>PERSONA JURIDICA (RUC)</t>
  </si>
  <si>
    <t>PERSONA NATURAL (DNI)</t>
  </si>
  <si>
    <t xml:space="preserve">    - OTROS (ESPECIFIQUE)</t>
  </si>
  <si>
    <t xml:space="preserve">       OFICIALES DE CRED. EXTERNO</t>
  </si>
  <si>
    <t>MONEDA</t>
  </si>
  <si>
    <t>FECHA DE APERTURA</t>
  </si>
  <si>
    <t>CUENTA</t>
  </si>
  <si>
    <t>BANCO / INSTITUCIÓN FINANCIERA</t>
  </si>
  <si>
    <t>CUENTAS BANCARIAS</t>
  </si>
  <si>
    <t>ESPECIFICACIONES RECURSOS PUBLICOS</t>
  </si>
  <si>
    <t>SALDO 2018 (*)</t>
  </si>
  <si>
    <t>SALDO 2019 (**)</t>
  </si>
  <si>
    <t>AÑO FISCAL 2018</t>
  </si>
  <si>
    <t>AÑO FISCAL 2019 (*)</t>
  </si>
  <si>
    <t>EJECUCIÓN 2018</t>
  </si>
  <si>
    <t>EJECUCIÓN 2019 (*)</t>
  </si>
  <si>
    <t>ÍNDICE DE FORMATOS</t>
  </si>
  <si>
    <t>INDICADORES DE GESTIÓN SEGÚN OBJETIVOS ESTRATÉGICOS INSTITUCIONALES AL 2021</t>
  </si>
  <si>
    <t>FORMATO Nº 1:</t>
  </si>
  <si>
    <t>FORMATO Nº 2:</t>
  </si>
  <si>
    <t>FORMATO Nº 3:</t>
  </si>
  <si>
    <t>FORMATO Nº 4:</t>
  </si>
  <si>
    <t>FORMATO Nº 5:</t>
  </si>
  <si>
    <t>FORMATO Nº 6:</t>
  </si>
  <si>
    <t>FORMATO Nº 7:</t>
  </si>
  <si>
    <t>FORMATO Nº 8:</t>
  </si>
  <si>
    <t>FORMATO Nº 9:</t>
  </si>
  <si>
    <t>FORMATO Nº 10:</t>
  </si>
  <si>
    <t>FORMATO Nº 11:</t>
  </si>
  <si>
    <t>FORMATO Nº 12:</t>
  </si>
  <si>
    <t>FORMATO Nº 13:</t>
  </si>
  <si>
    <t>FORMATO Nº 14:</t>
  </si>
  <si>
    <t>FORMATO Nº 15:</t>
  </si>
  <si>
    <t>FORMATO Nº 16:</t>
  </si>
  <si>
    <t>FORMATO Nº 17:</t>
  </si>
  <si>
    <t>FORMATO Nº 18:</t>
  </si>
  <si>
    <t>INDICADORES INSTITUCIONALES</t>
  </si>
  <si>
    <t>DISTRIBUCIÓN DEL GASTO</t>
  </si>
  <si>
    <t>GASTOS DE PERSONAL</t>
  </si>
  <si>
    <t>GASTOS EN BIENES Y SERVICIOS</t>
  </si>
  <si>
    <t>PPTO 2018 (AL 31/12)</t>
  </si>
  <si>
    <t>FORMATO 02: DISTRIBUCIÓN DEL PRESUPUESTO POR CATEGORÍA PRESUPUESTAL 2019, 2020 Y PROYECTO 2021</t>
  </si>
  <si>
    <t>2020 (*)</t>
  </si>
  <si>
    <t>2021 (**)</t>
  </si>
  <si>
    <t>(*) Proyección al 31/12/2020</t>
  </si>
  <si>
    <t>(**) Proyecto 2021</t>
  </si>
  <si>
    <t>FORMATO 03: DISTRIBUCIÓN DEL PRESUPUESTO POR FUENTE DE FINANCIAMIENTO 2019, 2020 Y PROYECTO 2021</t>
  </si>
  <si>
    <t>FORMATO 04: DISTRIBUCIÓN DEL GASTO POR UNIDADES EJECUTORAS / ENTIDAD PÚBLICA Y FUENTES DE FINANCIAMIENTO - PROYECTO 2021</t>
  </si>
  <si>
    <t>FORMATO 05: DISTRIBUCIÓN DEL PRESUPUESTO POR PROGRAMA PRESUPUESTAL 2019, 2020 Y 2021</t>
  </si>
  <si>
    <t>FORMATO 06: PROGRAMAS SOCIALES PRIORIZADOS SEGÚN EL CICLO DE VIDA POR FUENTE DE FINANCIAMIENTO 2019, 2020 Y PROYECTO 2021</t>
  </si>
  <si>
    <t>DIferencia 
(2019-2020</t>
  </si>
  <si>
    <t>Proyecto 2021</t>
  </si>
  <si>
    <t>Estimado 2020 (**)</t>
  </si>
  <si>
    <t>DIferencia 
(2020-2021)</t>
  </si>
  <si>
    <t>(*) Al 30 de junio de 2020</t>
  </si>
  <si>
    <t>(**) Estimado al 31 de diciembre de 2020</t>
  </si>
  <si>
    <t>FORMATO 07: RESUMEN POR GRUPO GENÉRICO Y FUENTES DE FINANCIAMIENTO PROYECTO 2021</t>
  </si>
  <si>
    <t>GASTO CORRIENTE 2021</t>
  </si>
  <si>
    <t>GASTO CAPITAL 2021</t>
  </si>
  <si>
    <t>SERVICIO DE DEUDA 2021</t>
  </si>
  <si>
    <t>FORMATO 08: RESUMEN DE PRESUPUESTO POR FUNCIONES PIA 2019, 2020 Y PROYECTO 2021</t>
  </si>
  <si>
    <t>Var. % (2020-2021)</t>
  </si>
  <si>
    <t>2020 (JUNIO)</t>
  </si>
  <si>
    <t>PROYECCIÓN 2021 (JUNIO)</t>
  </si>
  <si>
    <t>FORMATO 09: COMPARATIVO DEL NÚMERO DE PLAZAS EN EL PRESUPUESTO  2020 Y PROYECTO 2021</t>
  </si>
  <si>
    <t>2020 (PIA)</t>
  </si>
  <si>
    <t>2021  (PROYECTO)</t>
  </si>
  <si>
    <t>FORMATO 12: ASIGNACIÓN DE BIENES Y SERVICIOS - COMPARATIVO PRESUPUESTO 2019, 2020 Y PROYECTO 2021</t>
  </si>
  <si>
    <t>PPTO 2019 (PIM)</t>
  </si>
  <si>
    <t>PPTO 2020 
(PIA)</t>
  </si>
  <si>
    <t>PPTO 2020
(PIM 30 JUNIO)</t>
  </si>
  <si>
    <t>PPTO 2021 (PROYECTO)</t>
  </si>
  <si>
    <t>Variación % (2020-2021)</t>
  </si>
  <si>
    <t>Diferencia PIA (2020-2021)</t>
  </si>
  <si>
    <t>FORMATO 13: CONTRATOS DE OBRAS SUSCRITOS EN LOS AÑOS 2019 Y 2020</t>
  </si>
  <si>
    <t>FORMATO 14: PRINCIPALES ADQUISICIONES DE BIENES Y SERVICIOS - PRESUPUESTO 2019, 2020 Y PROYECTO 2021</t>
  </si>
  <si>
    <t>FORMATO 15: DETALLE DE CONSULTORIAS PERSONAS JURÍDICAS Y NATURALES - PRESUPUESTO 2019 Y 2020</t>
  </si>
  <si>
    <t>FORMATO 16: TESORERIA - RESUMEN POR GRUPO GENERICO Y FUENTES DE FINANCIAMIENTO 2019 Y 2020</t>
  </si>
  <si>
    <t>(*) Saldo al 31 de Diciembre de 2019</t>
  </si>
  <si>
    <t>(**) Saldo al 30 de Junio de 2020</t>
  </si>
  <si>
    <t>FORMATO 17: NOMBRES E INGRESOS MENSUALES DEL PERSONAL CONTRATADO FUERA DEL PAP EN LOS AÑOS FISCALES 2019 Y 2020</t>
  </si>
  <si>
    <t>FORMATO 18: ALQUILER DE INMUEBLES EN LOS AÑOS FISCALES 2019 Y 2020</t>
  </si>
  <si>
    <t>(*) = Al 30 de junio de 2020</t>
  </si>
  <si>
    <t>FORMATO 11: INGRESOS MENSUALES POR PERIODO DEL PERSONAL ACTIVO -  COMPARATIVO PRESUPUESTO 2019, 2020 Y PROYECTO 2021</t>
  </si>
  <si>
    <t>INGRESOS PERSONAL PRESUPUESTO 2020</t>
  </si>
  <si>
    <t>PROYECTO 2021</t>
  </si>
  <si>
    <t>DIFERENCIA 
(2019 -2020)</t>
  </si>
  <si>
    <t>DISTRIBUCIÓN DEL PRESUPUESTO POR CATEGORÍA PRESUPUESTAL 2019, 2020 Y PROYECTO 2021</t>
  </si>
  <si>
    <t>DISTRIBUCIÓN DEL PRESUPUESTO POR FUENTE DE FINANCIAMIENTO 2019, 2020 Y PROYECTO 2021</t>
  </si>
  <si>
    <t>DISTRIBUCIÓN DEL GASTO POR UNIDADES EJECUTORAS / ENTIDAD PÚBLICA Y FUENTES DE FINANCIAMIENTO - PROYECTO 2021</t>
  </si>
  <si>
    <t>DISTRIBUCIÓN DEL PRESUPUESTO POR PROGRAMA PRESUPUESTAL 2019, 2020 Y 2021</t>
  </si>
  <si>
    <t>PROGRAMAS SOCIALES PRIORIZADOS SEGÚN EL CICLO DE VIDA POR FUENTE DE FINANCIAMIENTO 2019, 2020 Y PROYECTO 2021</t>
  </si>
  <si>
    <t>RESUMEN POR GRUPO GENÉRICO Y FUENTES DE FINANCIAMIENTO PROYECTO 2021</t>
  </si>
  <si>
    <t>RESUMEN DE PRESUPUESTO POR FUNCIONES PIA 2019, 2020 Y PROYECTO 2021</t>
  </si>
  <si>
    <t>COMPARATIVO DEL NÚMERO DE PLAZAS EN EL PRESUPUESTO 2019, 2020 Y PROYECTO 2021</t>
  </si>
  <si>
    <t>INFORMACIÓN DE REMUNERACIONES Y NÚMERO DE PLAZAS - PRESUPUESTO 2019, 2020 Y PROYECTO 2021</t>
  </si>
  <si>
    <t>INGRESOS MENSUALES POR PERIODO DEL PERSONAL ACTIVO -  COMPARATIVO PRESUPUESTO 2019, 2020 Y PROYECTO 2021</t>
  </si>
  <si>
    <t>ASIGNACIÓN DE BIENES Y SERVICIOS - COMPARATIVO PRESUPUESTO 2019, 2020 Y PROYECTO 2021</t>
  </si>
  <si>
    <t>CONTRATOS DE OBRAS SUSCRITOS EN LOS AÑOS 2019 Y 2020</t>
  </si>
  <si>
    <t>PRINCIPALES ADQUISICIONES DE BIENES Y SERVICIOS - PRESUPUESTO 2019, 2020 Y PROYECTO 2021</t>
  </si>
  <si>
    <t>DETALLE DE CONSULTORIAS PERSONAS JURÍDICAS Y NATURALES - PRESUPUESTO 2019, 2020 Y PROYECTO 2021</t>
  </si>
  <si>
    <t>TESORERIA - RESUMEN POR GRUPO GENERICO Y FUENTES DE FINANCIAMIENTO 2019 Y 2020</t>
  </si>
  <si>
    <t>NOMBRES E INGRESOS MENSUALES DEL PERSONAL CONTRATADO FUERA DEL PAP EN LOS AÑOS FISCALES 2019 Y 2020</t>
  </si>
  <si>
    <t>ALQUILER DE INMUEBLES EN LOS AÑOS FISCALES 2019 Y 2020</t>
  </si>
  <si>
    <t>100</t>
  </si>
  <si>
    <t>200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</si>
  <si>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</si>
  <si>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</si>
  <si>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</si>
  <si>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</si>
  <si>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</si>
  <si>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</si>
  <si>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</si>
  <si>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</si>
  <si>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</si>
  <si>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</si>
  <si>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</si>
  <si>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</si>
  <si>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</si>
  <si>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</si>
  <si>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</si>
  <si>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</si>
  <si>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</si>
  <si>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</si>
  <si>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</si>
  <si>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</si>
  <si>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</si>
  <si>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</si>
  <si>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</si>
  <si>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</si>
  <si>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</si>
  <si>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445</t>
  </si>
  <si>
    <t>0041: Mejora De La Inocuidad Agroalimentaria</t>
  </si>
  <si>
    <t>0042: Aprovechamiento De Los Recursos Hídricos Para Uso Agrario</t>
  </si>
  <si>
    <t>0046: Acceso Y Uso De La Electrificación Rural</t>
  </si>
  <si>
    <t>0057: Conservacion De La Diversidad Biologica Y Aprovechamiento Sostenible De Los Recursos Naturales En Area Natural Protegida</t>
  </si>
  <si>
    <t>0068: Reduccion De Vulnerabilidad Y Atencion De Emergencias Por Desastres</t>
  </si>
  <si>
    <t>0073: Programa Para La Generacion Del Empleo Social Inclusivo - Trabaja Peru</t>
  </si>
  <si>
    <t>0082: Programa Nacional De Saneamiento Urbano</t>
  </si>
  <si>
    <t>0083: Programa Nacional De Saneamiento Rural</t>
  </si>
  <si>
    <t>0090: Logros De Aprendizaje De Estudiantes De La Educacion Basica Regular</t>
  </si>
  <si>
    <t>0091: Incremento En El Acceso De La Poblacion De 3 A 16 Años A Los Servicios Educativos Publicos De La Educacion Basica Regular</t>
  </si>
  <si>
    <t>0094: Ordenamiento Y Desarrollo De La Acuicultura</t>
  </si>
  <si>
    <t>0103: Fortalecimiento De Las Condiciones Laborales</t>
  </si>
  <si>
    <t>0104: Reduccion De La Mortalidad Por Emergencias Y Urgencias Medicas</t>
  </si>
  <si>
    <t>0106: Inclusion De Niños, Niñas Y Jovenes Con Discapacidad En La Educacion Basica Y Tecnico Productiva</t>
  </si>
  <si>
    <t>0107: Mejora De La Formacion En Carreras Docentes En Institutos De Educacion Superior No Universitaria</t>
  </si>
  <si>
    <t>0121: Mejora De La Articulacion De Pequeños Productores Al Mercado</t>
  </si>
  <si>
    <t>0126: Formalizacion Minera De La Pequeña Mineria Y Mineria Artesanal</t>
  </si>
  <si>
    <t>0129: Prevencion Y Manejo De Condiciones Secundarias De Salud En Personas Con Discapacidad</t>
  </si>
  <si>
    <t>0130: Competitividad Y Aprovechamiento Sostenible De Los Recursos Forestales Y De La Fauna Silvestre</t>
  </si>
  <si>
    <t>0131: Control Y Prevencion En Salud Mental</t>
  </si>
  <si>
    <t>0138: Reduccion Del Costo, Tiempo E Inseguridad En El Sistema De Transporte</t>
  </si>
  <si>
    <t>0144: Conservacion Y Uso Sostenible De Ecosistemas Para La Provision De Servicios Ecosistemicos</t>
  </si>
  <si>
    <t>0051: Prevencion Y Tratamiento Del Consumo De Drogas</t>
  </si>
  <si>
    <t>0080: Lucha Contra La Violencia Familiar</t>
  </si>
  <si>
    <t>0150: Incremento En El Acceso De La Poblacion A Los Servicios Educativos Publicos De La Educacion Basica</t>
  </si>
  <si>
    <t>0116: Mejoramiento De La Empleabilidad E Insercion Laboral-Proempleo</t>
  </si>
  <si>
    <t>1002: Productos Especificos Para Reduccion De La Violencia Contra La Mujer</t>
  </si>
  <si>
    <t>SECTOR o GOB. REGIONAL:GOBIERNO REGIONAL DE CAJAMARCA</t>
  </si>
  <si>
    <t>PAN 001</t>
  </si>
  <si>
    <t xml:space="preserve">Mortalidad Materna </t>
  </si>
  <si>
    <t xml:space="preserve">SAMU </t>
  </si>
  <si>
    <t>F-7</t>
  </si>
  <si>
    <t>F-6</t>
  </si>
  <si>
    <t>F-5</t>
  </si>
  <si>
    <t>F-4</t>
  </si>
  <si>
    <t>F-3</t>
  </si>
  <si>
    <t>F-2</t>
  </si>
  <si>
    <t>SPB</t>
  </si>
  <si>
    <t>SPC</t>
  </si>
  <si>
    <t>SPD</t>
  </si>
  <si>
    <t>STB</t>
  </si>
  <si>
    <t>STC</t>
  </si>
  <si>
    <t>STF</t>
  </si>
  <si>
    <t>PRACTICANTES</t>
  </si>
  <si>
    <t>CARGAS SOCIALES</t>
  </si>
  <si>
    <t>SECTOR o GOB. REGIONAL: GOBIERNO REGIONAL DE CAJMARCA</t>
  </si>
  <si>
    <t>SECTOR o GOB. REGIONAL: GOBIERNO REGIONAL DE CAJAMARCA</t>
  </si>
  <si>
    <t>TOTAL INGRESO ANUAL PEA (Proyección al 31 de diciembre de  2020)</t>
  </si>
  <si>
    <t>SECTOR O GOB. REGIONAL: GOBIERNO REGIONAL DE CAJAMARCA</t>
  </si>
  <si>
    <t>SECTOR  o GOB. REGIONAL: GOBIERNO REGIONAL DE CAJAMARCA</t>
  </si>
  <si>
    <t>1. ALIMENTOS Y BEBIDAS</t>
  </si>
  <si>
    <t>1. VIAJES</t>
  </si>
  <si>
    <t>2. SERVICIOS BASICOS, COMUNICACIONES, PUBLICIDAD Y DIFUSION</t>
  </si>
  <si>
    <t>2. VESTUARIOS Y TEXTILES</t>
  </si>
  <si>
    <t>3. COMBUSTIBLES, CARBURANTES, LUBRICANTES Y AFINES</t>
  </si>
  <si>
    <t>3. SERVICIOS DE LIMPIEZA, SEGURIDAD Y VIGILANCIA</t>
  </si>
  <si>
    <t>4. SERVICIO DE MANTENIMIENTO, ACONDICIONAMIENTO Y  REPARACIONES</t>
  </si>
  <si>
    <t>5. ALQUILERES DE MUEBLES E INMUEBLES</t>
  </si>
  <si>
    <t>5. MATERIALES Y  UTILES</t>
  </si>
  <si>
    <t>6. REPUESTOS Y ACCESORIOS</t>
  </si>
  <si>
    <t>6. SERVICIOS ADMINISTRATIVOS, FINANCIEROS Y DE SEGUROS</t>
  </si>
  <si>
    <t>7. ENSERES</t>
  </si>
  <si>
    <t>7. SERVICIOS PROFESIONALES Y TECNICOS</t>
  </si>
  <si>
    <t>8. CONTRATO ADMINISTRATIVO DE SERVICIOS</t>
  </si>
  <si>
    <t>8. SUMINISTROS MEDICOS</t>
  </si>
  <si>
    <t>9. MATERIALES Y UTILES DE ENSEÑANZA</t>
  </si>
  <si>
    <t>99. COMPRA DE OTROS BIENES</t>
  </si>
  <si>
    <t>-</t>
  </si>
  <si>
    <t>OEI.01 MEJORAR LOS LOGROS DE APRENDIZAJE EN LOS ESTUDIANTES DE LOS DIFERENTES NIVELES Y MODALIDADES DEL SISTEMA EDUCATIVO</t>
  </si>
  <si>
    <t>Porcentaje de estudiantes de 2° grado de primaria que alcanzan el nivel satisfactorio en comprensión lectora.</t>
  </si>
  <si>
    <t>32% de estudiantes al 2014</t>
  </si>
  <si>
    <t>66% de estudiantes al 2021</t>
  </si>
  <si>
    <t xml:space="preserve">MINISTERIO DE EDUCACIÓN </t>
  </si>
  <si>
    <t xml:space="preserve">DIRECCIÓN REGIONAL DE EDUCACIÓN </t>
  </si>
  <si>
    <t>Porcentaje de estudiantes de 2° grado de primaria que alcanzan el nivel satisfactorio en comprensión matemática</t>
  </si>
  <si>
    <t>23% de estudiantes al 2014</t>
  </si>
  <si>
    <t>49% de estudiantes al 2021</t>
  </si>
  <si>
    <t>Porcentaje de estudiantes de 2° grado de secundaria que alcanzan el nivel satisfactorio en comprensión lectora</t>
  </si>
  <si>
    <t>7% de estudiantes al 2015</t>
  </si>
  <si>
    <t>30% de estudiantes al 2021</t>
  </si>
  <si>
    <t>Porcentaje de estudiantes de 2° grado de secundaria que alcanzan el nivel satisfactorio en matemática</t>
  </si>
  <si>
    <t>6% de estudiantes al 2015</t>
  </si>
  <si>
    <t>26% de estudiantes al 2021</t>
  </si>
  <si>
    <t>Porcentaje de estudiantes egresados de educación técnico productiva y superior no universitaria que cuentan con título</t>
  </si>
  <si>
    <t xml:space="preserve">OEI.02 MEJORAR LA SALUD MATERNO NEONATAL </t>
  </si>
  <si>
    <t>Tasa de Mortalidad neonatal por 10,000 nacidos vivos</t>
  </si>
  <si>
    <t xml:space="preserve">14 nacidos al año 2015 </t>
  </si>
  <si>
    <t>4 nacidos al año 2021</t>
  </si>
  <si>
    <t>DIRESA</t>
  </si>
  <si>
    <t xml:space="preserve">Porcentaje de embarazo en adolescentes </t>
  </si>
  <si>
    <t xml:space="preserve">11% adolescentes al 2015 </t>
  </si>
  <si>
    <t>9% adolescentes al 2021</t>
  </si>
  <si>
    <t>Razón de la mortalidad materna por 100,000 nacidos vivos</t>
  </si>
  <si>
    <t xml:space="preserve">111 madres al 2015 </t>
  </si>
  <si>
    <t xml:space="preserve">88 madres al 2021 </t>
  </si>
  <si>
    <t xml:space="preserve">DIRESA </t>
  </si>
  <si>
    <t>OEI.03 AMPLIAR LA COBERTURA Y CALIDAD EN LOS SERVICIOS DE AGUA, SANEAMIENTO BÁSICO Y VIVIENDA.</t>
  </si>
  <si>
    <t>Porcentaje de hogares con acceso a servicios de saneamiento básico</t>
  </si>
  <si>
    <t xml:space="preserve">89% de hogares al 2015 </t>
  </si>
  <si>
    <t>93% de hogares al 2021</t>
  </si>
  <si>
    <t>DIRECCIÓN DE VIVIENDA/ DESA/DIRESA/MEF</t>
  </si>
  <si>
    <t xml:space="preserve">DIRECCION REGIONAL  DE VIVIENDA Y URBANISMO </t>
  </si>
  <si>
    <t>Porcentaje de población que consume agua segura en la zona rural (clorada)</t>
  </si>
  <si>
    <t xml:space="preserve">10% de la población al 2015 </t>
  </si>
  <si>
    <t xml:space="preserve">12% de la población al 2021 </t>
  </si>
  <si>
    <t>Porcentaje de población que consume agua segura en la zona rural ( clorada)</t>
  </si>
  <si>
    <t>21% de la población rural al 2015</t>
  </si>
  <si>
    <t>21% de la población rural al 2021</t>
  </si>
  <si>
    <t>OEI.04 MEJORAR LA NUTRICIÓN DE LOS NIÑOS MENORES DE 5 AÑOS</t>
  </si>
  <si>
    <t>Proporción de menores de 5 años con DCI (patrón OMS).</t>
  </si>
  <si>
    <t xml:space="preserve">24% de niños al 2015 </t>
  </si>
  <si>
    <t>7% de niños al 2021</t>
  </si>
  <si>
    <t>Proporción de niños de 6 a menos de 36 meses de edad con anemia.</t>
  </si>
  <si>
    <t xml:space="preserve">36% de niños al 2015 </t>
  </si>
  <si>
    <t xml:space="preserve">18% de niños al 2015 </t>
  </si>
  <si>
    <t>OEI.05 DISMINUIR LA MORBIMORTALIDAD DE ENFERMEDADES TRANSMISIBLES, NO TRANSMISIBLES Y METAXÉNICAS DE LA POBLACIÓN DE CAJAMARCA</t>
  </si>
  <si>
    <t>Tasa de Incidencia acumulada de Dengue</t>
  </si>
  <si>
    <t xml:space="preserve">8% de incidencia al 2010 </t>
  </si>
  <si>
    <t xml:space="preserve">7% de incidencia al 2010 </t>
  </si>
  <si>
    <t>Porcentaje de población tamizada en enfermedades crónicas</t>
  </si>
  <si>
    <t xml:space="preserve">46% de población al 2015 </t>
  </si>
  <si>
    <t xml:space="preserve">85% de población al 2021 </t>
  </si>
  <si>
    <t>Tasa de incidencia de Tuberculosis Frotis Positivo</t>
  </si>
  <si>
    <t xml:space="preserve">13% de incidencia al 2015 </t>
  </si>
  <si>
    <t xml:space="preserve">8% de incidencia al 2021 </t>
  </si>
  <si>
    <t>DIRESa</t>
  </si>
  <si>
    <t>Tasa de mortalidad de cáncer por cada 100,000 habitantes</t>
  </si>
  <si>
    <t xml:space="preserve">25% de reducción de la mortalidad al 2015 </t>
  </si>
  <si>
    <t>33% de reducción de la mortalidad al 2021</t>
  </si>
  <si>
    <t>Tasa de prevalencia de cáncer por cada 100,000 habitantes</t>
  </si>
  <si>
    <t xml:space="preserve">Un 32% al año 2015 </t>
  </si>
  <si>
    <t xml:space="preserve">Un 60% al año 2015 </t>
  </si>
  <si>
    <t>Tasa de incidencia de VIH en poblaciones priorizadas</t>
  </si>
  <si>
    <t>Un 4% de indicencia al 2015</t>
  </si>
  <si>
    <t>Un 4% de indicencia al 2021</t>
  </si>
  <si>
    <r>
      <rPr>
        <b/>
        <sz val="8"/>
        <rFont val="Calibri"/>
        <family val="2"/>
      </rPr>
      <t>OEI.06</t>
    </r>
    <r>
      <rPr>
        <sz val="8"/>
        <rFont val="Calibri"/>
        <family val="2"/>
      </rPr>
      <t xml:space="preserve"> MEJORAR EL ACCESO EQUITATIVO A SERVICIOS DE SALUD DE CALIDAD DE LA POBLACIÓN DE CAJAMARCA.</t>
    </r>
  </si>
  <si>
    <t>Porcentaje de la población afiliada al Seguro Integral de Salud</t>
  </si>
  <si>
    <t xml:space="preserve">71% de la población al 2015 </t>
  </si>
  <si>
    <t xml:space="preserve">82% de la población al 2021 </t>
  </si>
  <si>
    <t>Porcentaje de usuarios satisfechos con atención de consulta externa</t>
  </si>
  <si>
    <t xml:space="preserve">44% de usuarios al 2015 </t>
  </si>
  <si>
    <t xml:space="preserve">58% de usuarios al 2021 </t>
  </si>
  <si>
    <r>
      <rPr>
        <b/>
        <sz val="8"/>
        <rFont val="Calibri"/>
        <family val="2"/>
      </rPr>
      <t>OEI.07</t>
    </r>
    <r>
      <rPr>
        <sz val="8"/>
        <rFont val="Calibri"/>
        <family val="2"/>
      </rPr>
      <t xml:space="preserve"> PROMOVER EL EJERCICIO DE LOS DERECHOS DE LAS POBLACIONES VULNERABLES</t>
    </r>
  </si>
  <si>
    <t xml:space="preserve">Porcentaje de mujeres (15 a 49 años) que han sufrido violencia física </t>
  </si>
  <si>
    <t xml:space="preserve">29% de mujeres al 2015 </t>
  </si>
  <si>
    <t xml:space="preserve">19% de mujeres al 2021 </t>
  </si>
  <si>
    <t>PODER JUDICIAL/ FISCALIA/ INEI</t>
  </si>
  <si>
    <t xml:space="preserve">GERENCIA DESARROLLO SOCIAL </t>
  </si>
  <si>
    <t>Porcentaje de mujeres (15 a 49 años) que han sufrido violencia sexual</t>
  </si>
  <si>
    <t xml:space="preserve">9% de Mujeres al 2015 </t>
  </si>
  <si>
    <t xml:space="preserve">6% de Mujeres al 2021 </t>
  </si>
  <si>
    <t>Porcentaje de Niñas, Niños y Adolescentes protegidos oportunamente en un entorno familiar o en una institución de protección</t>
  </si>
  <si>
    <t>30% de niños y niñas al 2021</t>
  </si>
  <si>
    <r>
      <rPr>
        <b/>
        <sz val="8"/>
        <rFont val="Calibri"/>
        <family val="2"/>
      </rPr>
      <t>OEI.08</t>
    </r>
    <r>
      <rPr>
        <sz val="8"/>
        <rFont val="Calibri"/>
        <family val="2"/>
      </rPr>
      <t xml:space="preserve"> MEJORAR LA COMPETITIVIDAD ECONÓMICA DE LAS CADENAS PRODUCTIVAS ESTRATÉGICAS EN LA REGIÓN CAJAMARCA</t>
    </r>
  </si>
  <si>
    <t>Porcentaje de incremento de arribos y pernoctaciones de turistas nacionales y extranjeros</t>
  </si>
  <si>
    <t>3% al 2015</t>
  </si>
  <si>
    <t>15% al 2021</t>
  </si>
  <si>
    <t>DIRCETUR/ HOSPEDAJES/ RESTAURANTES</t>
  </si>
  <si>
    <t xml:space="preserve">DIRECCIÓN REGIONAL DE TURISMO </t>
  </si>
  <si>
    <t xml:space="preserve">Porcentaje de incremento del Valor Agregado Bruto a la producción </t>
  </si>
  <si>
    <t xml:space="preserve">6% al 2012 </t>
  </si>
  <si>
    <t>4% al 2021</t>
  </si>
  <si>
    <t>BCR/ DIRCETUR</t>
  </si>
  <si>
    <t xml:space="preserve">GERENCIA REGIONAL DE DESARROLLO ECONÓMICO </t>
  </si>
  <si>
    <r>
      <rPr>
        <b/>
        <sz val="8"/>
        <rFont val="Calibri"/>
        <family val="2"/>
      </rPr>
      <t>OEI.09</t>
    </r>
    <r>
      <rPr>
        <sz val="8"/>
        <rFont val="Calibri"/>
        <family val="2"/>
      </rPr>
      <t xml:space="preserve"> PROMOVER LA GESTIÓN SOSTENIBLE DE LOS RECURSOS NATURALES CON ENFOQUE DE CUENCA EN LA REGIÓN CAJAMARCA</t>
    </r>
  </si>
  <si>
    <t>Porcentaje de hectáreas reforestadas</t>
  </si>
  <si>
    <t>9% al 2021</t>
  </si>
  <si>
    <t>RENAMA</t>
  </si>
  <si>
    <t>GERENCIA REGIONAL DE RECURSOS NATURALES Y GESTIÓN DEL MEDIO AMBIENTE (RENAMA)</t>
  </si>
  <si>
    <t>Número de áreas de conservación establecidas</t>
  </si>
  <si>
    <t xml:space="preserve">2 al  2021 </t>
  </si>
  <si>
    <r>
      <rPr>
        <b/>
        <sz val="8"/>
        <rFont val="Calibri"/>
        <family val="2"/>
      </rPr>
      <t xml:space="preserve">OEI.10 </t>
    </r>
    <r>
      <rPr>
        <sz val="8"/>
        <rFont val="Calibri"/>
        <family val="2"/>
      </rPr>
      <t>PROMOVER LA GESTIÓN DE RIESGOS DESASTRES EN UN CONTEXTO DE CAMBIO CLIMÁTICO</t>
    </r>
  </si>
  <si>
    <t>Porcentaje de Centros Poblados expuestos a peligros de origen natural con población entrenada para responder ante emergencias y desastres a nivel regional</t>
  </si>
  <si>
    <t>15% al 2012</t>
  </si>
  <si>
    <t>31% al 2021</t>
  </si>
  <si>
    <t xml:space="preserve">OFICINA DE DEFENSA NACIONAL </t>
  </si>
  <si>
    <r>
      <rPr>
        <b/>
        <sz val="8"/>
        <rFont val="Calibri"/>
        <family val="2"/>
      </rPr>
      <t>OEI.11</t>
    </r>
    <r>
      <rPr>
        <sz val="8"/>
        <rFont val="Calibri"/>
        <family val="2"/>
      </rPr>
      <t xml:space="preserve"> FORTALECER EL SISTEMA DE SEGURIDAD CIUDADANA EN EL DEPARTAMENTO DE CAJAMARCA</t>
    </r>
  </si>
  <si>
    <t>Tasa de denuncias por delito del departamento de Cajamarca</t>
  </si>
  <si>
    <t>38% al 2014</t>
  </si>
  <si>
    <t>42% al 2021</t>
  </si>
  <si>
    <t xml:space="preserve">INEI / OFICINA DEFENSA NACION </t>
  </si>
  <si>
    <r>
      <rPr>
        <b/>
        <sz val="8"/>
        <rFont val="Calibri"/>
        <family val="2"/>
      </rPr>
      <t>OEI.12</t>
    </r>
    <r>
      <rPr>
        <sz val="8"/>
        <rFont val="Calibri"/>
        <family val="2"/>
      </rPr>
      <t xml:space="preserve"> FORTALECER LA GESTIÓN INSTITUCIONAL DEL GOBIERNO REGIONAL CAJAMARCA</t>
    </r>
  </si>
  <si>
    <t>Porcentaje de percepción de integridad del Gobierno Regional de Cajamarca</t>
  </si>
  <si>
    <t>Índice de competitividad regional – pilar institucional</t>
  </si>
  <si>
    <t>0.4 al 2015</t>
  </si>
  <si>
    <t>0.6 al 2021</t>
  </si>
  <si>
    <t xml:space="preserve">IPE / PLANEAMIENTO </t>
  </si>
  <si>
    <t xml:space="preserve">PLANEAMIENTO </t>
  </si>
  <si>
    <t>PLIEGO 445: GOBIERNO REGIONA DE CAJAMARCA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</si>
</sst>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-280A]d&quot; de &quot;mmmm&quot; de &quot;yyyy;@"/>
    <numFmt numFmtId="166" formatCode="0.0"/>
    <numFmt numFmtId="167" formatCode="_ * #,##0_ ;_ * \-#,##0_ ;_ * &quot;-&quot;??_ ;_ @_ 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32"/>
      <name val="Arial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8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49" fontId="7" fillId="0" borderId="0"/>
    <xf numFmtId="0" fontId="1" fillId="0" borderId="0"/>
    <xf numFmtId="164" fontId="21" fillId="0" borderId="0" applyFont="0" applyFill="0" applyBorder="0" applyAlignment="0" applyProtection="0"/>
  </cellStyleXfs>
  <cellXfs count="609">
    <xf numFmtId="0" fontId="0" fillId="0" borderId="0" xfId="0"/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9" fillId="0" borderId="0" xfId="0" applyFont="1"/>
    <xf numFmtId="0" fontId="9" fillId="0" borderId="3" xfId="0" applyFont="1" applyBorder="1"/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8" xfId="0" applyFont="1" applyBorder="1"/>
    <xf numFmtId="0" fontId="9" fillId="0" borderId="0" xfId="0" applyFont="1" applyBorder="1"/>
    <xf numFmtId="0" fontId="10" fillId="0" borderId="0" xfId="0" applyFont="1" applyBorder="1"/>
    <xf numFmtId="49" fontId="9" fillId="0" borderId="0" xfId="3" applyFont="1" applyAlignment="1">
      <alignment vertical="center"/>
    </xf>
    <xf numFmtId="0" fontId="9" fillId="0" borderId="13" xfId="0" applyFont="1" applyBorder="1"/>
    <xf numFmtId="0" fontId="10" fillId="0" borderId="0" xfId="0" applyFont="1"/>
    <xf numFmtId="0" fontId="9" fillId="0" borderId="14" xfId="0" applyFont="1" applyBorder="1"/>
    <xf numFmtId="0" fontId="9" fillId="0" borderId="4" xfId="0" applyFont="1" applyBorder="1"/>
    <xf numFmtId="0" fontId="9" fillId="0" borderId="20" xfId="0" applyFont="1" applyBorder="1"/>
    <xf numFmtId="0" fontId="9" fillId="0" borderId="5" xfId="0" applyFont="1" applyBorder="1"/>
    <xf numFmtId="0" fontId="9" fillId="0" borderId="18" xfId="0" applyFont="1" applyBorder="1"/>
    <xf numFmtId="49" fontId="13" fillId="0" borderId="0" xfId="1" quotePrefix="1" applyNumberFormat="1" applyFont="1" applyFill="1" applyAlignment="1">
      <alignment horizontal="left" vertical="center"/>
    </xf>
    <xf numFmtId="49" fontId="9" fillId="0" borderId="0" xfId="1" applyNumberFormat="1" applyFont="1" applyFill="1" applyAlignment="1">
      <alignment horizontal="left" vertical="center"/>
    </xf>
    <xf numFmtId="0" fontId="9" fillId="0" borderId="6" xfId="0" applyFont="1" applyBorder="1"/>
    <xf numFmtId="0" fontId="9" fillId="0" borderId="48" xfId="0" applyFont="1" applyBorder="1"/>
    <xf numFmtId="0" fontId="9" fillId="0" borderId="21" xfId="0" applyFont="1" applyBorder="1"/>
    <xf numFmtId="49" fontId="9" fillId="0" borderId="3" xfId="0" applyNumberFormat="1" applyFont="1" applyBorder="1" applyAlignment="1">
      <alignment horizontal="left"/>
    </xf>
    <xf numFmtId="0" fontId="9" fillId="0" borderId="49" xfId="0" applyFont="1" applyBorder="1"/>
    <xf numFmtId="0" fontId="9" fillId="0" borderId="7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52" xfId="0" applyFont="1" applyBorder="1"/>
    <xf numFmtId="0" fontId="9" fillId="0" borderId="0" xfId="2" applyFont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vertical="center"/>
    </xf>
    <xf numFmtId="0" fontId="9" fillId="0" borderId="56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vertical="center"/>
    </xf>
    <xf numFmtId="0" fontId="10" fillId="2" borderId="17" xfId="2" applyFont="1" applyFill="1" applyBorder="1" applyAlignment="1">
      <alignment vertical="center"/>
    </xf>
    <xf numFmtId="0" fontId="10" fillId="2" borderId="20" xfId="2" applyFont="1" applyFill="1" applyBorder="1" applyAlignment="1">
      <alignment vertical="center"/>
    </xf>
    <xf numFmtId="0" fontId="10" fillId="2" borderId="18" xfId="2" applyFont="1" applyFill="1" applyBorder="1" applyAlignment="1">
      <alignment vertical="center"/>
    </xf>
    <xf numFmtId="0" fontId="10" fillId="2" borderId="43" xfId="2" applyFont="1" applyFill="1" applyBorder="1" applyAlignment="1">
      <alignment vertical="center"/>
    </xf>
    <xf numFmtId="0" fontId="10" fillId="0" borderId="3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0" fontId="9" fillId="0" borderId="14" xfId="2" applyFont="1" applyFill="1" applyBorder="1" applyAlignment="1">
      <alignment horizontal="left" vertical="center"/>
    </xf>
    <xf numFmtId="0" fontId="10" fillId="0" borderId="14" xfId="2" applyFont="1" applyFill="1" applyBorder="1" applyAlignment="1">
      <alignment vertical="center"/>
    </xf>
    <xf numFmtId="0" fontId="10" fillId="0" borderId="4" xfId="2" applyFont="1" applyFill="1" applyBorder="1" applyAlignment="1">
      <alignment vertical="center"/>
    </xf>
    <xf numFmtId="0" fontId="9" fillId="0" borderId="12" xfId="0" applyFont="1" applyBorder="1"/>
    <xf numFmtId="0" fontId="10" fillId="2" borderId="7" xfId="2" applyFont="1" applyFill="1" applyBorder="1" applyAlignment="1">
      <alignment horizontal="center" vertical="center"/>
    </xf>
    <xf numFmtId="0" fontId="10" fillId="0" borderId="56" xfId="2" applyFont="1" applyFill="1" applyBorder="1" applyAlignment="1">
      <alignment vertical="center"/>
    </xf>
    <xf numFmtId="0" fontId="10" fillId="2" borderId="21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9" fillId="0" borderId="56" xfId="0" applyFont="1" applyBorder="1"/>
    <xf numFmtId="0" fontId="9" fillId="0" borderId="9" xfId="0" applyFont="1" applyBorder="1"/>
    <xf numFmtId="0" fontId="9" fillId="0" borderId="16" xfId="0" applyFont="1" applyBorder="1"/>
    <xf numFmtId="165" fontId="9" fillId="0" borderId="0" xfId="0" applyNumberFormat="1" applyFont="1"/>
    <xf numFmtId="0" fontId="9" fillId="0" borderId="15" xfId="0" applyFont="1" applyBorder="1"/>
    <xf numFmtId="0" fontId="9" fillId="0" borderId="0" xfId="2" applyFont="1" applyBorder="1" applyAlignment="1">
      <alignment horizontal="center" vertical="center"/>
    </xf>
    <xf numFmtId="0" fontId="9" fillId="0" borderId="55" xfId="0" applyFont="1" applyBorder="1"/>
    <xf numFmtId="0" fontId="9" fillId="0" borderId="13" xfId="0" applyFont="1" applyBorder="1" applyAlignment="1"/>
    <xf numFmtId="0" fontId="9" fillId="0" borderId="49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10" fillId="0" borderId="4" xfId="2" applyFont="1" applyFill="1" applyBorder="1" applyAlignment="1">
      <alignment horizontal="left" vertical="center"/>
    </xf>
    <xf numFmtId="0" fontId="10" fillId="2" borderId="8" xfId="2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11" xfId="2" applyFont="1" applyBorder="1" applyAlignment="1">
      <alignment horizontal="left" vertical="center"/>
    </xf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0" xfId="2" applyFont="1" applyFill="1" applyBorder="1" applyAlignment="1">
      <alignment vertical="center"/>
    </xf>
    <xf numFmtId="0" fontId="9" fillId="0" borderId="58" xfId="0" applyFont="1" applyBorder="1"/>
    <xf numFmtId="0" fontId="10" fillId="0" borderId="42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9" fillId="0" borderId="50" xfId="0" applyFont="1" applyBorder="1"/>
    <xf numFmtId="0" fontId="10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9" fillId="0" borderId="10" xfId="0" applyFont="1" applyBorder="1"/>
    <xf numFmtId="0" fontId="9" fillId="0" borderId="0" xfId="0" applyFont="1"/>
    <xf numFmtId="0" fontId="10" fillId="2" borderId="21" xfId="2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right"/>
    </xf>
    <xf numFmtId="0" fontId="9" fillId="3" borderId="38" xfId="0" applyNumberFormat="1" applyFont="1" applyFill="1" applyBorder="1"/>
    <xf numFmtId="0" fontId="9" fillId="0" borderId="55" xfId="0" applyFont="1" applyBorder="1" applyAlignment="1"/>
    <xf numFmtId="0" fontId="9" fillId="0" borderId="56" xfId="0" applyFont="1" applyBorder="1" applyAlignment="1"/>
    <xf numFmtId="0" fontId="9" fillId="0" borderId="0" xfId="0" applyFont="1"/>
    <xf numFmtId="0" fontId="10" fillId="2" borderId="19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165" fontId="9" fillId="0" borderId="4" xfId="0" applyNumberFormat="1" applyFont="1" applyBorder="1"/>
    <xf numFmtId="165" fontId="9" fillId="0" borderId="18" xfId="0" applyNumberFormat="1" applyFont="1" applyBorder="1"/>
    <xf numFmtId="0" fontId="9" fillId="0" borderId="49" xfId="2" applyFont="1" applyBorder="1" applyAlignment="1">
      <alignment horizontal="left" vertical="center"/>
    </xf>
    <xf numFmtId="0" fontId="9" fillId="0" borderId="13" xfId="2" applyFont="1" applyBorder="1" applyAlignment="1">
      <alignment horizontal="left" vertical="center"/>
    </xf>
    <xf numFmtId="165" fontId="9" fillId="0" borderId="58" xfId="0" applyNumberFormat="1" applyFont="1" applyBorder="1"/>
    <xf numFmtId="165" fontId="9" fillId="0" borderId="56" xfId="0" applyNumberFormat="1" applyFont="1" applyBorder="1"/>
    <xf numFmtId="165" fontId="9" fillId="0" borderId="42" xfId="0" applyNumberFormat="1" applyFont="1" applyBorder="1"/>
    <xf numFmtId="165" fontId="9" fillId="0" borderId="48" xfId="0" applyNumberFormat="1" applyFont="1" applyBorder="1"/>
    <xf numFmtId="165" fontId="9" fillId="0" borderId="49" xfId="0" applyNumberFormat="1" applyFont="1" applyBorder="1"/>
    <xf numFmtId="165" fontId="9" fillId="0" borderId="16" xfId="0" applyNumberFormat="1" applyFont="1" applyBorder="1"/>
    <xf numFmtId="0" fontId="10" fillId="0" borderId="0" xfId="0" applyFont="1" applyFill="1"/>
    <xf numFmtId="0" fontId="8" fillId="5" borderId="0" xfId="0" applyFont="1" applyFill="1" applyBorder="1"/>
    <xf numFmtId="0" fontId="9" fillId="5" borderId="0" xfId="0" applyFont="1" applyFill="1" applyBorder="1"/>
    <xf numFmtId="0" fontId="6" fillId="5" borderId="0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 textRotation="90" wrapText="1"/>
    </xf>
    <xf numFmtId="0" fontId="10" fillId="5" borderId="0" xfId="2" applyFont="1" applyFill="1" applyBorder="1" applyAlignment="1">
      <alignment vertical="center"/>
    </xf>
    <xf numFmtId="0" fontId="8" fillId="5" borderId="0" xfId="0" applyFont="1" applyFill="1"/>
    <xf numFmtId="0" fontId="9" fillId="0" borderId="0" xfId="0" applyFont="1"/>
    <xf numFmtId="0" fontId="10" fillId="5" borderId="0" xfId="0" applyFont="1" applyFill="1"/>
    <xf numFmtId="0" fontId="10" fillId="5" borderId="0" xfId="2" applyFont="1" applyFill="1" applyAlignment="1">
      <alignment vertical="center"/>
    </xf>
    <xf numFmtId="0" fontId="10" fillId="5" borderId="0" xfId="0" applyFont="1" applyFill="1" applyBorder="1"/>
    <xf numFmtId="0" fontId="9" fillId="5" borderId="0" xfId="0" applyFont="1" applyFill="1"/>
    <xf numFmtId="0" fontId="8" fillId="4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/>
    <xf numFmtId="0" fontId="10" fillId="0" borderId="0" xfId="2" applyFont="1" applyFill="1" applyAlignment="1">
      <alignment vertical="center"/>
    </xf>
    <xf numFmtId="0" fontId="10" fillId="0" borderId="0" xfId="0" applyFont="1" applyFill="1" applyAlignment="1"/>
    <xf numFmtId="0" fontId="8" fillId="0" borderId="0" xfId="0" applyFont="1" applyFill="1"/>
    <xf numFmtId="0" fontId="8" fillId="0" borderId="0" xfId="2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49" fontId="8" fillId="0" borderId="0" xfId="3" applyFont="1" applyFill="1" applyAlignment="1">
      <alignment vertical="center"/>
    </xf>
    <xf numFmtId="49" fontId="8" fillId="0" borderId="0" xfId="3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2" applyFont="1" applyFill="1" applyAlignment="1">
      <alignment vertical="center"/>
    </xf>
    <xf numFmtId="0" fontId="2" fillId="0" borderId="28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40" xfId="0" applyFont="1" applyBorder="1" applyAlignment="1">
      <alignment horizontal="justify" vertical="center" wrapText="1"/>
    </xf>
    <xf numFmtId="0" fontId="18" fillId="0" borderId="0" xfId="0" applyFont="1" applyFill="1"/>
    <xf numFmtId="0" fontId="18" fillId="0" borderId="0" xfId="0" applyFont="1" applyFill="1" applyAlignment="1"/>
    <xf numFmtId="0" fontId="18" fillId="0" borderId="0" xfId="2" applyFont="1" applyFill="1" applyAlignment="1">
      <alignment vertic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/>
    <xf numFmtId="0" fontId="17" fillId="0" borderId="5" xfId="0" applyFont="1" applyBorder="1"/>
    <xf numFmtId="0" fontId="17" fillId="0" borderId="0" xfId="0" applyFont="1" applyFill="1" applyAlignment="1">
      <alignment horizontal="centerContinuous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49" fontId="18" fillId="0" borderId="0" xfId="3" applyFont="1" applyBorder="1" applyAlignment="1">
      <alignment horizontal="left" vertical="center"/>
    </xf>
    <xf numFmtId="3" fontId="17" fillId="0" borderId="0" xfId="3" applyNumberFormat="1" applyFont="1" applyBorder="1" applyAlignment="1">
      <alignment vertical="center"/>
    </xf>
    <xf numFmtId="3" fontId="17" fillId="0" borderId="0" xfId="3" applyNumberFormat="1" applyFont="1" applyAlignment="1">
      <alignment vertical="center"/>
    </xf>
    <xf numFmtId="3" fontId="17" fillId="0" borderId="0" xfId="3" applyNumberFormat="1" applyFont="1" applyAlignment="1">
      <alignment horizontal="right" vertical="center"/>
    </xf>
    <xf numFmtId="3" fontId="17" fillId="0" borderId="14" xfId="0" applyNumberFormat="1" applyFont="1" applyBorder="1"/>
    <xf numFmtId="3" fontId="17" fillId="0" borderId="0" xfId="0" applyNumberFormat="1" applyFont="1" applyBorder="1"/>
    <xf numFmtId="3" fontId="17" fillId="0" borderId="4" xfId="0" applyNumberFormat="1" applyFont="1" applyBorder="1"/>
    <xf numFmtId="3" fontId="17" fillId="0" borderId="0" xfId="0" applyNumberFormat="1" applyFont="1" applyBorder="1" applyAlignment="1"/>
    <xf numFmtId="3" fontId="17" fillId="0" borderId="14" xfId="0" applyNumberFormat="1" applyFont="1" applyBorder="1" applyAlignment="1"/>
    <xf numFmtId="0" fontId="17" fillId="0" borderId="11" xfId="0" applyFont="1" applyBorder="1"/>
    <xf numFmtId="0" fontId="18" fillId="0" borderId="0" xfId="0" applyFont="1" applyAlignment="1">
      <alignment horizontal="center" vertical="center" textRotation="90"/>
    </xf>
    <xf numFmtId="0" fontId="18" fillId="0" borderId="14" xfId="0" applyFont="1" applyBorder="1" applyAlignment="1"/>
    <xf numFmtId="0" fontId="18" fillId="0" borderId="0" xfId="0" applyFont="1" applyFill="1" applyAlignment="1">
      <alignment horizontal="center" vertical="center" wrapText="1"/>
    </xf>
    <xf numFmtId="0" fontId="17" fillId="0" borderId="14" xfId="0" applyFont="1" applyBorder="1"/>
    <xf numFmtId="3" fontId="17" fillId="0" borderId="4" xfId="0" applyNumberFormat="1" applyFont="1" applyBorder="1" applyAlignment="1"/>
    <xf numFmtId="0" fontId="17" fillId="0" borderId="0" xfId="0" applyFont="1" applyBorder="1"/>
    <xf numFmtId="0" fontId="17" fillId="0" borderId="4" xfId="0" applyFont="1" applyBorder="1"/>
    <xf numFmtId="49" fontId="18" fillId="0" borderId="19" xfId="3" applyFont="1" applyBorder="1" applyAlignment="1">
      <alignment horizontal="left" vertical="center"/>
    </xf>
    <xf numFmtId="0" fontId="10" fillId="0" borderId="18" xfId="0" applyFont="1" applyBorder="1" applyAlignment="1">
      <alignment horizontal="center"/>
    </xf>
    <xf numFmtId="0" fontId="9" fillId="0" borderId="43" xfId="0" applyFont="1" applyBorder="1"/>
    <xf numFmtId="0" fontId="9" fillId="0" borderId="54" xfId="2" applyFont="1" applyBorder="1" applyAlignment="1">
      <alignment horizontal="left" vertical="center"/>
    </xf>
    <xf numFmtId="0" fontId="9" fillId="0" borderId="54" xfId="0" applyFont="1" applyBorder="1"/>
    <xf numFmtId="0" fontId="9" fillId="0" borderId="54" xfId="0" applyFont="1" applyBorder="1" applyAlignment="1"/>
    <xf numFmtId="0" fontId="9" fillId="0" borderId="17" xfId="0" applyFont="1" applyBorder="1"/>
    <xf numFmtId="0" fontId="9" fillId="0" borderId="42" xfId="0" applyFont="1" applyBorder="1"/>
    <xf numFmtId="0" fontId="3" fillId="0" borderId="0" xfId="0" applyFont="1" applyAlignment="1">
      <alignment horizontal="center" vertical="center"/>
    </xf>
    <xf numFmtId="0" fontId="0" fillId="0" borderId="28" xfId="0" applyBorder="1"/>
    <xf numFmtId="0" fontId="1" fillId="0" borderId="28" xfId="0" applyFont="1" applyFill="1" applyBorder="1" applyAlignment="1">
      <alignment horizontal="left" indent="2"/>
    </xf>
    <xf numFmtId="0" fontId="1" fillId="0" borderId="28" xfId="0" applyFont="1" applyFill="1" applyBorder="1"/>
    <xf numFmtId="0" fontId="1" fillId="0" borderId="0" xfId="0" applyFont="1" applyFill="1"/>
    <xf numFmtId="0" fontId="3" fillId="6" borderId="28" xfId="0" applyFont="1" applyFill="1" applyBorder="1"/>
    <xf numFmtId="0" fontId="1" fillId="0" borderId="0" xfId="0" applyFont="1" applyFill="1" applyBorder="1"/>
    <xf numFmtId="0" fontId="3" fillId="6" borderId="28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6" borderId="28" xfId="0" applyFont="1" applyFill="1" applyBorder="1" applyAlignment="1">
      <alignment horizontal="right" vertical="center" indent="2"/>
    </xf>
    <xf numFmtId="0" fontId="17" fillId="0" borderId="0" xfId="0" applyFont="1"/>
    <xf numFmtId="0" fontId="3" fillId="7" borderId="2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textRotation="90" wrapText="1"/>
    </xf>
    <xf numFmtId="0" fontId="18" fillId="7" borderId="5" xfId="0" applyFont="1" applyFill="1" applyBorder="1" applyAlignment="1">
      <alignment horizontal="center" vertical="center" textRotation="90" wrapText="1"/>
    </xf>
    <xf numFmtId="0" fontId="18" fillId="7" borderId="20" xfId="0" applyFont="1" applyFill="1" applyBorder="1" applyAlignment="1">
      <alignment horizontal="center" vertical="center" textRotation="90" wrapText="1"/>
    </xf>
    <xf numFmtId="49" fontId="14" fillId="7" borderId="38" xfId="3" applyFont="1" applyFill="1" applyBorder="1" applyAlignment="1">
      <alignment horizontal="center" textRotation="90" wrapText="1"/>
    </xf>
    <xf numFmtId="49" fontId="14" fillId="7" borderId="40" xfId="3" applyFont="1" applyFill="1" applyBorder="1" applyAlignment="1">
      <alignment horizontal="center" textRotation="90" wrapText="1"/>
    </xf>
    <xf numFmtId="49" fontId="14" fillId="7" borderId="39" xfId="3" applyFont="1" applyFill="1" applyBorder="1" applyAlignment="1">
      <alignment horizontal="center" textRotation="90" wrapText="1"/>
    </xf>
    <xf numFmtId="49" fontId="14" fillId="7" borderId="51" xfId="3" applyFont="1" applyFill="1" applyBorder="1" applyAlignment="1">
      <alignment horizontal="center" textRotation="90" wrapText="1"/>
    </xf>
    <xf numFmtId="49" fontId="12" fillId="7" borderId="40" xfId="3" applyFont="1" applyFill="1" applyBorder="1" applyAlignment="1">
      <alignment horizontal="center" textRotation="90" wrapText="1"/>
    </xf>
    <xf numFmtId="49" fontId="10" fillId="7" borderId="39" xfId="3" applyFont="1" applyFill="1" applyBorder="1" applyAlignment="1">
      <alignment horizontal="center" textRotation="90" wrapText="1"/>
    </xf>
    <xf numFmtId="0" fontId="6" fillId="7" borderId="62" xfId="2" applyFont="1" applyFill="1" applyBorder="1" applyAlignment="1">
      <alignment horizontal="center" vertical="center"/>
    </xf>
    <xf numFmtId="0" fontId="6" fillId="7" borderId="46" xfId="2" applyFont="1" applyFill="1" applyBorder="1" applyAlignment="1">
      <alignment horizontal="center" vertical="center" wrapText="1"/>
    </xf>
    <xf numFmtId="0" fontId="2" fillId="7" borderId="27" xfId="2" applyFont="1" applyFill="1" applyBorder="1" applyAlignment="1">
      <alignment horizontal="center" vertical="center" textRotation="90" wrapText="1"/>
    </xf>
    <xf numFmtId="0" fontId="2" fillId="7" borderId="28" xfId="2" applyFont="1" applyFill="1" applyBorder="1" applyAlignment="1">
      <alignment horizontal="center" vertical="center" textRotation="90" wrapText="1"/>
    </xf>
    <xf numFmtId="0" fontId="6" fillId="7" borderId="28" xfId="2" applyFont="1" applyFill="1" applyBorder="1" applyAlignment="1">
      <alignment horizontal="center" vertical="center" textRotation="90" wrapText="1"/>
    </xf>
    <xf numFmtId="0" fontId="6" fillId="7" borderId="1" xfId="2" applyFont="1" applyFill="1" applyBorder="1" applyAlignment="1">
      <alignment horizontal="center" vertical="center" textRotation="90" wrapText="1"/>
    </xf>
    <xf numFmtId="0" fontId="6" fillId="7" borderId="29" xfId="2" applyFont="1" applyFill="1" applyBorder="1" applyAlignment="1">
      <alignment horizontal="center" vertical="center" textRotation="90" wrapText="1"/>
    </xf>
    <xf numFmtId="0" fontId="10" fillId="7" borderId="12" xfId="2" applyFont="1" applyFill="1" applyBorder="1" applyAlignment="1">
      <alignment horizontal="center" vertical="center" wrapText="1"/>
    </xf>
    <xf numFmtId="0" fontId="10" fillId="7" borderId="21" xfId="2" applyFont="1" applyFill="1" applyBorder="1" applyAlignment="1">
      <alignment horizontal="center" vertical="center" wrapText="1"/>
    </xf>
    <xf numFmtId="0" fontId="10" fillId="7" borderId="59" xfId="2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textRotation="90" wrapText="1"/>
    </xf>
    <xf numFmtId="0" fontId="10" fillId="7" borderId="13" xfId="0" applyFont="1" applyFill="1" applyBorder="1" applyAlignment="1">
      <alignment horizontal="center" vertical="center" textRotation="90" wrapText="1"/>
    </xf>
    <xf numFmtId="0" fontId="10" fillId="7" borderId="49" xfId="0" applyFont="1" applyFill="1" applyBorder="1" applyAlignment="1">
      <alignment horizontal="center" vertical="center" textRotation="90" wrapText="1"/>
    </xf>
    <xf numFmtId="0" fontId="10" fillId="7" borderId="54" xfId="0" applyFont="1" applyFill="1" applyBorder="1" applyAlignment="1">
      <alignment horizontal="center" vertical="center" textRotation="90" wrapText="1"/>
    </xf>
    <xf numFmtId="0" fontId="10" fillId="7" borderId="58" xfId="0" applyFont="1" applyFill="1" applyBorder="1" applyAlignment="1">
      <alignment horizontal="center" vertical="center" textRotation="90" wrapText="1"/>
    </xf>
    <xf numFmtId="0" fontId="10" fillId="7" borderId="21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>
      <alignment horizontal="center" vertical="center" textRotation="90" wrapText="1"/>
    </xf>
    <xf numFmtId="0" fontId="10" fillId="7" borderId="1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7" borderId="50" xfId="0" quotePrefix="1" applyFont="1" applyFill="1" applyBorder="1" applyAlignment="1">
      <alignment horizontal="center"/>
    </xf>
    <xf numFmtId="0" fontId="10" fillId="7" borderId="57" xfId="0" quotePrefix="1" applyFont="1" applyFill="1" applyBorder="1" applyAlignment="1">
      <alignment horizontal="center"/>
    </xf>
    <xf numFmtId="0" fontId="10" fillId="7" borderId="9" xfId="0" quotePrefix="1" applyFont="1" applyFill="1" applyBorder="1" applyAlignment="1">
      <alignment horizontal="center"/>
    </xf>
    <xf numFmtId="0" fontId="10" fillId="7" borderId="8" xfId="0" quotePrefix="1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5" xfId="2" applyFont="1" applyFill="1" applyBorder="1" applyAlignment="1">
      <alignment horizontal="center" vertical="center"/>
    </xf>
    <xf numFmtId="0" fontId="10" fillId="7" borderId="18" xfId="2" applyFont="1" applyFill="1" applyBorder="1" applyAlignment="1">
      <alignment horizontal="center" vertical="center" wrapText="1"/>
    </xf>
    <xf numFmtId="0" fontId="10" fillId="7" borderId="19" xfId="2" applyFont="1" applyFill="1" applyBorder="1" applyAlignment="1">
      <alignment horizontal="center" vertical="center"/>
    </xf>
    <xf numFmtId="0" fontId="10" fillId="7" borderId="5" xfId="2" applyFont="1" applyFill="1" applyBorder="1" applyAlignment="1">
      <alignment horizontal="center" vertical="center" wrapText="1"/>
    </xf>
    <xf numFmtId="15" fontId="10" fillId="7" borderId="12" xfId="2" applyNumberFormat="1" applyFont="1" applyFill="1" applyBorder="1" applyAlignment="1">
      <alignment horizontal="center" vertical="center"/>
    </xf>
    <xf numFmtId="0" fontId="10" fillId="7" borderId="8" xfId="2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165" fontId="10" fillId="7" borderId="42" xfId="0" applyNumberFormat="1" applyFont="1" applyFill="1" applyBorder="1" applyAlignment="1">
      <alignment horizontal="center" textRotation="90" wrapText="1"/>
    </xf>
    <xf numFmtId="165" fontId="10" fillId="7" borderId="16" xfId="0" applyNumberFormat="1" applyFont="1" applyFill="1" applyBorder="1" applyAlignment="1">
      <alignment horizontal="center" textRotation="90" wrapText="1"/>
    </xf>
    <xf numFmtId="165" fontId="10" fillId="7" borderId="43" xfId="0" applyNumberFormat="1" applyFont="1" applyFill="1" applyBorder="1" applyAlignment="1">
      <alignment horizontal="center" textRotation="90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horizontal="center" vertical="center" textRotation="90" wrapText="1"/>
    </xf>
    <xf numFmtId="165" fontId="10" fillId="7" borderId="43" xfId="0" applyNumberFormat="1" applyFont="1" applyFill="1" applyBorder="1" applyAlignment="1">
      <alignment horizontal="center" vertical="center" textRotation="90" wrapText="1"/>
    </xf>
    <xf numFmtId="0" fontId="10" fillId="7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49" fontId="19" fillId="7" borderId="42" xfId="3" applyFont="1" applyFill="1" applyBorder="1" applyAlignment="1">
      <alignment horizontal="center" textRotation="90" wrapText="1"/>
    </xf>
    <xf numFmtId="49" fontId="19" fillId="7" borderId="16" xfId="3" applyFont="1" applyFill="1" applyBorder="1" applyAlignment="1">
      <alignment horizontal="center" textRotation="90" wrapText="1"/>
    </xf>
    <xf numFmtId="49" fontId="19" fillId="7" borderId="17" xfId="3" applyFont="1" applyFill="1" applyBorder="1" applyAlignment="1">
      <alignment horizontal="center" textRotation="90" wrapText="1"/>
    </xf>
    <xf numFmtId="49" fontId="6" fillId="7" borderId="42" xfId="3" applyNumberFormat="1" applyFont="1" applyFill="1" applyBorder="1" applyAlignment="1" applyProtection="1">
      <alignment horizontal="center" textRotation="90" wrapText="1"/>
    </xf>
    <xf numFmtId="49" fontId="6" fillId="7" borderId="43" xfId="3" applyFont="1" applyFill="1" applyBorder="1" applyAlignment="1">
      <alignment horizontal="center" textRotation="90" wrapText="1"/>
    </xf>
    <xf numFmtId="49" fontId="2" fillId="0" borderId="61" xfId="3" applyFont="1" applyBorder="1" applyAlignment="1">
      <alignment vertical="center"/>
    </xf>
    <xf numFmtId="4" fontId="6" fillId="0" borderId="22" xfId="3" applyNumberFormat="1" applyFont="1" applyBorder="1" applyAlignment="1">
      <alignment vertical="center"/>
    </xf>
    <xf numFmtId="49" fontId="2" fillId="0" borderId="2" xfId="3" applyFont="1" applyBorder="1" applyAlignment="1">
      <alignment vertical="center"/>
    </xf>
    <xf numFmtId="4" fontId="6" fillId="0" borderId="26" xfId="3" applyNumberFormat="1" applyFont="1" applyBorder="1" applyAlignment="1">
      <alignment vertical="center"/>
    </xf>
    <xf numFmtId="4" fontId="6" fillId="0" borderId="28" xfId="3" applyNumberFormat="1" applyFont="1" applyBorder="1" applyAlignment="1">
      <alignment vertical="center"/>
    </xf>
    <xf numFmtId="4" fontId="2" fillId="0" borderId="26" xfId="3" applyNumberFormat="1" applyFont="1" applyBorder="1" applyAlignment="1">
      <alignment horizontal="justify" vertical="center"/>
    </xf>
    <xf numFmtId="4" fontId="2" fillId="0" borderId="28" xfId="3" applyNumberFormat="1" applyFont="1" applyBorder="1" applyAlignment="1">
      <alignment horizontal="justify" vertical="center"/>
    </xf>
    <xf numFmtId="4" fontId="2" fillId="0" borderId="28" xfId="3" applyNumberFormat="1" applyFont="1" applyBorder="1" applyAlignment="1">
      <alignment horizontal="right" vertical="center"/>
    </xf>
    <xf numFmtId="4" fontId="2" fillId="0" borderId="26" xfId="3" applyNumberFormat="1" applyFont="1" applyBorder="1" applyAlignment="1">
      <alignment vertical="center"/>
    </xf>
    <xf numFmtId="4" fontId="2" fillId="0" borderId="28" xfId="3" applyNumberFormat="1" applyFont="1" applyBorder="1" applyAlignment="1">
      <alignment vertical="center"/>
    </xf>
    <xf numFmtId="49" fontId="6" fillId="2" borderId="19" xfId="3" applyFont="1" applyFill="1" applyBorder="1" applyAlignment="1">
      <alignment horizontal="center" vertical="center"/>
    </xf>
    <xf numFmtId="4" fontId="6" fillId="2" borderId="42" xfId="3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6" fillId="0" borderId="0" xfId="0" quotePrefix="1" applyFont="1" applyFill="1" applyAlignment="1"/>
    <xf numFmtId="0" fontId="6" fillId="7" borderId="42" xfId="0" applyFont="1" applyFill="1" applyBorder="1" applyAlignment="1">
      <alignment horizontal="center" vertical="center" textRotation="90" wrapText="1"/>
    </xf>
    <xf numFmtId="0" fontId="6" fillId="7" borderId="16" xfId="0" applyFont="1" applyFill="1" applyBorder="1" applyAlignment="1">
      <alignment horizontal="center" vertical="center" textRotation="90" wrapText="1"/>
    </xf>
    <xf numFmtId="0" fontId="6" fillId="7" borderId="15" xfId="0" applyFont="1" applyFill="1" applyBorder="1" applyAlignment="1">
      <alignment horizontal="center" vertical="center" textRotation="90" wrapText="1"/>
    </xf>
    <xf numFmtId="0" fontId="6" fillId="7" borderId="18" xfId="0" applyFont="1" applyFill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wrapText="1"/>
    </xf>
    <xf numFmtId="0" fontId="6" fillId="0" borderId="5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0" fillId="0" borderId="14" xfId="0" applyFont="1" applyFill="1" applyBorder="1" applyAlignment="1">
      <alignment wrapText="1"/>
    </xf>
    <xf numFmtId="3" fontId="6" fillId="0" borderId="56" xfId="0" applyNumberFormat="1" applyFont="1" applyBorder="1"/>
    <xf numFmtId="3" fontId="6" fillId="0" borderId="49" xfId="0" applyNumberFormat="1" applyFont="1" applyBorder="1"/>
    <xf numFmtId="3" fontId="6" fillId="0" borderId="13" xfId="0" applyNumberFormat="1" applyFont="1" applyBorder="1"/>
    <xf numFmtId="3" fontId="6" fillId="0" borderId="4" xfId="0" applyNumberFormat="1" applyFont="1" applyBorder="1"/>
    <xf numFmtId="0" fontId="2" fillId="0" borderId="14" xfId="0" applyFont="1" applyFill="1" applyBorder="1" applyAlignment="1">
      <alignment wrapText="1"/>
    </xf>
    <xf numFmtId="3" fontId="2" fillId="0" borderId="56" xfId="0" applyNumberFormat="1" applyFont="1" applyBorder="1"/>
    <xf numFmtId="3" fontId="2" fillId="0" borderId="49" xfId="0" applyNumberFormat="1" applyFont="1" applyBorder="1"/>
    <xf numFmtId="3" fontId="2" fillId="0" borderId="13" xfId="0" applyNumberFormat="1" applyFont="1" applyBorder="1"/>
    <xf numFmtId="3" fontId="2" fillId="0" borderId="4" xfId="0" applyNumberFormat="1" applyFont="1" applyBorder="1"/>
    <xf numFmtId="0" fontId="6" fillId="0" borderId="14" xfId="0" applyFont="1" applyFill="1" applyBorder="1" applyAlignment="1">
      <alignment wrapText="1"/>
    </xf>
    <xf numFmtId="0" fontId="2" fillId="0" borderId="14" xfId="0" applyFont="1" applyFill="1" applyBorder="1" applyAlignment="1">
      <alignment horizontal="left" wrapText="1"/>
    </xf>
    <xf numFmtId="0" fontId="2" fillId="0" borderId="14" xfId="0" quotePrefix="1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6" fillId="0" borderId="45" xfId="0" applyFont="1" applyFill="1" applyBorder="1" applyAlignment="1">
      <alignment horizontal="center" wrapText="1"/>
    </xf>
    <xf numFmtId="3" fontId="6" fillId="0" borderId="66" xfId="0" applyNumberFormat="1" applyFont="1" applyFill="1" applyBorder="1"/>
    <xf numFmtId="0" fontId="6" fillId="0" borderId="5" xfId="0" applyFont="1" applyFill="1" applyBorder="1" applyAlignment="1">
      <alignment horizontal="center" wrapText="1"/>
    </xf>
    <xf numFmtId="3" fontId="6" fillId="0" borderId="42" xfId="0" applyNumberFormat="1" applyFont="1" applyFill="1" applyBorder="1"/>
    <xf numFmtId="3" fontId="6" fillId="0" borderId="20" xfId="0" applyNumberFormat="1" applyFont="1" applyFill="1" applyBorder="1"/>
    <xf numFmtId="3" fontId="6" fillId="0" borderId="15" xfId="0" applyNumberFormat="1" applyFont="1" applyFill="1" applyBorder="1"/>
    <xf numFmtId="3" fontId="6" fillId="0" borderId="18" xfId="0" applyNumberFormat="1" applyFont="1" applyFill="1" applyBorder="1"/>
    <xf numFmtId="3" fontId="2" fillId="0" borderId="58" xfId="0" applyNumberFormat="1" applyFont="1" applyFill="1" applyBorder="1"/>
    <xf numFmtId="3" fontId="2" fillId="0" borderId="47" xfId="0" applyNumberFormat="1" applyFont="1" applyFill="1" applyBorder="1"/>
    <xf numFmtId="3" fontId="2" fillId="0" borderId="53" xfId="0" applyNumberFormat="1" applyFont="1" applyFill="1" applyBorder="1"/>
    <xf numFmtId="3" fontId="2" fillId="0" borderId="52" xfId="0" applyNumberFormat="1" applyFont="1" applyFill="1" applyBorder="1"/>
    <xf numFmtId="3" fontId="2" fillId="0" borderId="21" xfId="0" applyNumberFormat="1" applyFont="1" applyFill="1" applyBorder="1"/>
    <xf numFmtId="3" fontId="6" fillId="0" borderId="43" xfId="0" applyNumberFormat="1" applyFont="1" applyFill="1" applyBorder="1"/>
    <xf numFmtId="3" fontId="2" fillId="0" borderId="48" xfId="0" applyNumberFormat="1" applyFont="1" applyFill="1" applyBorder="1"/>
    <xf numFmtId="3" fontId="6" fillId="0" borderId="16" xfId="0" applyNumberFormat="1" applyFont="1" applyFill="1" applyBorder="1"/>
    <xf numFmtId="0" fontId="3" fillId="0" borderId="0" xfId="2" applyFont="1" applyFill="1" applyAlignment="1">
      <alignment vertical="center"/>
    </xf>
    <xf numFmtId="0" fontId="3" fillId="5" borderId="0" xfId="0" applyFont="1" applyFill="1"/>
    <xf numFmtId="0" fontId="9" fillId="0" borderId="54" xfId="2" applyFont="1" applyBorder="1" applyAlignment="1">
      <alignment vertical="center"/>
    </xf>
    <xf numFmtId="0" fontId="10" fillId="0" borderId="49" xfId="2" applyFont="1" applyFill="1" applyBorder="1" applyAlignment="1">
      <alignment vertical="center"/>
    </xf>
    <xf numFmtId="0" fontId="9" fillId="0" borderId="49" xfId="2" applyFont="1" applyBorder="1" applyAlignment="1">
      <alignment vertical="center"/>
    </xf>
    <xf numFmtId="0" fontId="10" fillId="2" borderId="16" xfId="2" applyFont="1" applyFill="1" applyBorder="1" applyAlignment="1">
      <alignment vertical="center"/>
    </xf>
    <xf numFmtId="0" fontId="9" fillId="0" borderId="0" xfId="4" applyFont="1"/>
    <xf numFmtId="0" fontId="9" fillId="0" borderId="5" xfId="4" applyFont="1" applyBorder="1"/>
    <xf numFmtId="0" fontId="9" fillId="0" borderId="20" xfId="4" applyFont="1" applyBorder="1"/>
    <xf numFmtId="0" fontId="10" fillId="0" borderId="11" xfId="4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9" fillId="0" borderId="4" xfId="4" applyFont="1" applyBorder="1"/>
    <xf numFmtId="0" fontId="9" fillId="0" borderId="14" xfId="4" applyFont="1" applyBorder="1"/>
    <xf numFmtId="0" fontId="9" fillId="0" borderId="0" xfId="4" applyFont="1" applyBorder="1"/>
    <xf numFmtId="0" fontId="9" fillId="0" borderId="8" xfId="4" applyFont="1" applyBorder="1"/>
    <xf numFmtId="0" fontId="9" fillId="0" borderId="11" xfId="4" applyFont="1" applyBorder="1"/>
    <xf numFmtId="3" fontId="9" fillId="0" borderId="4" xfId="4" applyNumberFormat="1" applyFont="1" applyBorder="1"/>
    <xf numFmtId="3" fontId="9" fillId="0" borderId="14" xfId="4" applyNumberFormat="1" applyFont="1" applyBorder="1"/>
    <xf numFmtId="3" fontId="9" fillId="0" borderId="0" xfId="4" applyNumberFormat="1" applyFont="1" applyBorder="1"/>
    <xf numFmtId="3" fontId="9" fillId="0" borderId="4" xfId="4" applyNumberFormat="1" applyFont="1" applyBorder="1" applyAlignment="1"/>
    <xf numFmtId="3" fontId="9" fillId="0" borderId="14" xfId="4" applyNumberFormat="1" applyFont="1" applyBorder="1" applyAlignment="1"/>
    <xf numFmtId="3" fontId="9" fillId="0" borderId="0" xfId="4" applyNumberFormat="1" applyFont="1" applyBorder="1" applyAlignment="1"/>
    <xf numFmtId="0" fontId="9" fillId="0" borderId="21" xfId="4" applyFont="1" applyBorder="1"/>
    <xf numFmtId="0" fontId="9" fillId="0" borderId="12" xfId="4" applyFont="1" applyBorder="1"/>
    <xf numFmtId="0" fontId="10" fillId="0" borderId="0" xfId="4" applyFont="1" applyFill="1" applyAlignment="1">
      <alignment horizontal="center"/>
    </xf>
    <xf numFmtId="0" fontId="10" fillId="8" borderId="18" xfId="4" applyFont="1" applyFill="1" applyBorder="1" applyAlignment="1">
      <alignment horizontal="center"/>
    </xf>
    <xf numFmtId="0" fontId="10" fillId="8" borderId="5" xfId="4" applyFont="1" applyFill="1" applyBorder="1" applyAlignment="1">
      <alignment horizontal="center" wrapText="1"/>
    </xf>
    <xf numFmtId="0" fontId="10" fillId="8" borderId="19" xfId="4" applyFont="1" applyFill="1" applyBorder="1" applyAlignment="1">
      <alignment horizontal="center"/>
    </xf>
    <xf numFmtId="0" fontId="10" fillId="8" borderId="5" xfId="4" applyFont="1" applyFill="1" applyBorder="1" applyAlignment="1">
      <alignment horizontal="center"/>
    </xf>
    <xf numFmtId="0" fontId="16" fillId="0" borderId="0" xfId="4" applyFont="1" applyFill="1"/>
    <xf numFmtId="0" fontId="8" fillId="0" borderId="0" xfId="4" applyFont="1" applyFill="1"/>
    <xf numFmtId="0" fontId="8" fillId="0" borderId="0" xfId="4" applyFont="1" applyFill="1" applyAlignment="1"/>
    <xf numFmtId="0" fontId="10" fillId="0" borderId="0" xfId="4" applyFont="1" applyFill="1" applyAlignment="1"/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6" borderId="36" xfId="0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indent="2"/>
    </xf>
    <xf numFmtId="0" fontId="10" fillId="7" borderId="12" xfId="2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3" fontId="1" fillId="0" borderId="28" xfId="0" applyNumberFormat="1" applyFont="1" applyFill="1" applyBorder="1"/>
    <xf numFmtId="4" fontId="0" fillId="0" borderId="69" xfId="0" applyNumberFormat="1" applyBorder="1"/>
    <xf numFmtId="3" fontId="2" fillId="0" borderId="23" xfId="3" applyNumberFormat="1" applyFont="1" applyBorder="1" applyAlignment="1">
      <alignment vertical="center"/>
    </xf>
    <xf numFmtId="4" fontId="2" fillId="0" borderId="23" xfId="3" applyNumberFormat="1" applyFont="1" applyBorder="1" applyAlignment="1">
      <alignment vertical="center"/>
    </xf>
    <xf numFmtId="4" fontId="2" fillId="0" borderId="22" xfId="3" applyNumberFormat="1" applyFont="1" applyBorder="1" applyAlignment="1">
      <alignment vertical="center"/>
    </xf>
    <xf numFmtId="4" fontId="2" fillId="0" borderId="25" xfId="3" applyNumberFormat="1" applyFont="1" applyBorder="1" applyAlignment="1">
      <alignment vertical="center"/>
    </xf>
    <xf numFmtId="3" fontId="2" fillId="0" borderId="28" xfId="3" applyNumberFormat="1" applyFont="1" applyBorder="1" applyAlignment="1">
      <alignment vertical="center"/>
    </xf>
    <xf numFmtId="49" fontId="2" fillId="0" borderId="70" xfId="3" applyFont="1" applyBorder="1" applyAlignment="1">
      <alignment vertical="center"/>
    </xf>
    <xf numFmtId="4" fontId="2" fillId="0" borderId="34" xfId="3" applyNumberFormat="1" applyFont="1" applyBorder="1" applyAlignment="1">
      <alignment vertical="center"/>
    </xf>
    <xf numFmtId="4" fontId="2" fillId="0" borderId="36" xfId="3" applyNumberFormat="1" applyFont="1" applyBorder="1" applyAlignment="1">
      <alignment vertical="center"/>
    </xf>
    <xf numFmtId="3" fontId="6" fillId="2" borderId="16" xfId="3" applyNumberFormat="1" applyFont="1" applyFill="1" applyBorder="1" applyAlignment="1">
      <alignment horizontal="right" vertical="center"/>
    </xf>
    <xf numFmtId="3" fontId="3" fillId="6" borderId="28" xfId="0" applyNumberFormat="1" applyFont="1" applyFill="1" applyBorder="1" applyAlignment="1">
      <alignment vertical="center"/>
    </xf>
    <xf numFmtId="3" fontId="3" fillId="6" borderId="28" xfId="0" applyNumberFormat="1" applyFont="1" applyFill="1" applyBorder="1"/>
    <xf numFmtId="3" fontId="2" fillId="0" borderId="24" xfId="3" applyNumberFormat="1" applyFont="1" applyBorder="1" applyAlignment="1">
      <alignment vertical="center"/>
    </xf>
    <xf numFmtId="3" fontId="18" fillId="0" borderId="0" xfId="3" applyNumberFormat="1" applyFont="1" applyAlignment="1">
      <alignment horizontal="right" vertical="center"/>
    </xf>
    <xf numFmtId="3" fontId="6" fillId="0" borderId="24" xfId="3" applyNumberFormat="1" applyFont="1" applyBorder="1" applyAlignment="1">
      <alignment vertical="center"/>
    </xf>
    <xf numFmtId="3" fontId="2" fillId="0" borderId="26" xfId="3" applyNumberFormat="1" applyFont="1" applyBorder="1" applyAlignment="1">
      <alignment vertical="center"/>
    </xf>
    <xf numFmtId="3" fontId="2" fillId="0" borderId="34" xfId="3" applyNumberFormat="1" applyFont="1" applyBorder="1" applyAlignment="1">
      <alignment vertical="center"/>
    </xf>
    <xf numFmtId="3" fontId="6" fillId="0" borderId="22" xfId="3" applyNumberFormat="1" applyFont="1" applyBorder="1" applyAlignment="1">
      <alignment vertical="center"/>
    </xf>
    <xf numFmtId="0" fontId="10" fillId="7" borderId="31" xfId="2" applyFont="1" applyFill="1" applyBorder="1" applyAlignment="1">
      <alignment horizontal="center" vertical="center" wrapText="1"/>
    </xf>
    <xf numFmtId="0" fontId="10" fillId="7" borderId="12" xfId="2" applyFont="1" applyFill="1" applyBorder="1" applyAlignment="1">
      <alignment horizontal="center" vertical="center"/>
    </xf>
    <xf numFmtId="4" fontId="9" fillId="0" borderId="32" xfId="0" applyNumberFormat="1" applyFont="1" applyBorder="1"/>
    <xf numFmtId="4" fontId="9" fillId="0" borderId="31" xfId="0" applyNumberFormat="1" applyFont="1" applyBorder="1"/>
    <xf numFmtId="4" fontId="9" fillId="0" borderId="30" xfId="0" applyNumberFormat="1" applyFont="1" applyBorder="1"/>
    <xf numFmtId="4" fontId="9" fillId="0" borderId="28" xfId="0" applyNumberFormat="1" applyFont="1" applyBorder="1"/>
    <xf numFmtId="4" fontId="9" fillId="0" borderId="29" xfId="0" applyNumberFormat="1" applyFont="1" applyBorder="1"/>
    <xf numFmtId="4" fontId="9" fillId="0" borderId="26" xfId="0" applyNumberFormat="1" applyFont="1" applyBorder="1"/>
    <xf numFmtId="4" fontId="9" fillId="0" borderId="36" xfId="0" applyNumberFormat="1" applyFont="1" applyBorder="1"/>
    <xf numFmtId="4" fontId="9" fillId="0" borderId="37" xfId="0" applyNumberFormat="1" applyFont="1" applyBorder="1"/>
    <xf numFmtId="4" fontId="9" fillId="0" borderId="34" xfId="0" applyNumberFormat="1" applyFont="1" applyBorder="1"/>
    <xf numFmtId="4" fontId="9" fillId="3" borderId="40" xfId="0" applyNumberFormat="1" applyFont="1" applyFill="1" applyBorder="1"/>
    <xf numFmtId="4" fontId="9" fillId="3" borderId="39" xfId="0" applyNumberFormat="1" applyFont="1" applyFill="1" applyBorder="1"/>
    <xf numFmtId="4" fontId="9" fillId="3" borderId="38" xfId="0" applyNumberFormat="1" applyFont="1" applyFill="1" applyBorder="1"/>
    <xf numFmtId="4" fontId="9" fillId="0" borderId="23" xfId="0" applyNumberFormat="1" applyFont="1" applyBorder="1"/>
    <xf numFmtId="4" fontId="9" fillId="0" borderId="25" xfId="0" applyNumberFormat="1" applyFont="1" applyBorder="1"/>
    <xf numFmtId="4" fontId="9" fillId="0" borderId="22" xfId="0" applyNumberFormat="1" applyFont="1" applyBorder="1"/>
    <xf numFmtId="4" fontId="9" fillId="3" borderId="40" xfId="0" applyNumberFormat="1" applyFont="1" applyFill="1" applyBorder="1" applyAlignment="1"/>
    <xf numFmtId="4" fontId="9" fillId="0" borderId="0" xfId="0" applyNumberFormat="1" applyFont="1"/>
    <xf numFmtId="4" fontId="9" fillId="0" borderId="64" xfId="0" applyNumberFormat="1" applyFont="1" applyBorder="1"/>
    <xf numFmtId="4" fontId="9" fillId="0" borderId="27" xfId="0" applyNumberFormat="1" applyFont="1" applyBorder="1"/>
    <xf numFmtId="4" fontId="9" fillId="0" borderId="35" xfId="0" applyNumberFormat="1" applyFont="1" applyBorder="1"/>
    <xf numFmtId="4" fontId="9" fillId="3" borderId="51" xfId="0" applyNumberFormat="1" applyFont="1" applyFill="1" applyBorder="1"/>
    <xf numFmtId="4" fontId="9" fillId="0" borderId="44" xfId="0" applyNumberFormat="1" applyFont="1" applyBorder="1"/>
    <xf numFmtId="4" fontId="9" fillId="0" borderId="39" xfId="0" applyNumberFormat="1" applyFont="1" applyBorder="1"/>
    <xf numFmtId="3" fontId="17" fillId="0" borderId="5" xfId="0" applyNumberFormat="1" applyFont="1" applyBorder="1"/>
    <xf numFmtId="4" fontId="2" fillId="0" borderId="56" xfId="0" applyNumberFormat="1" applyFont="1" applyBorder="1"/>
    <xf numFmtId="4" fontId="2" fillId="0" borderId="49" xfId="0" applyNumberFormat="1" applyFont="1" applyBorder="1"/>
    <xf numFmtId="4" fontId="2" fillId="0" borderId="13" xfId="0" applyNumberFormat="1" applyFont="1" applyBorder="1"/>
    <xf numFmtId="4" fontId="2" fillId="0" borderId="4" xfId="0" applyNumberFormat="1" applyFont="1" applyBorder="1"/>
    <xf numFmtId="4" fontId="6" fillId="0" borderId="56" xfId="0" applyNumberFormat="1" applyFont="1" applyBorder="1"/>
    <xf numFmtId="4" fontId="6" fillId="0" borderId="49" xfId="0" applyNumberFormat="1" applyFont="1" applyBorder="1"/>
    <xf numFmtId="4" fontId="6" fillId="0" borderId="13" xfId="0" applyNumberFormat="1" applyFont="1" applyBorder="1"/>
    <xf numFmtId="4" fontId="6" fillId="0" borderId="4" xfId="0" applyNumberFormat="1" applyFont="1" applyBorder="1"/>
    <xf numFmtId="4" fontId="17" fillId="0" borderId="0" xfId="0" applyNumberFormat="1" applyFont="1"/>
    <xf numFmtId="0" fontId="10" fillId="2" borderId="0" xfId="2" applyFont="1" applyFill="1" applyAlignment="1">
      <alignment vertical="center"/>
    </xf>
    <xf numFmtId="4" fontId="9" fillId="0" borderId="4" xfId="2" applyNumberFormat="1" applyFont="1" applyBorder="1" applyAlignment="1">
      <alignment vertical="center"/>
    </xf>
    <xf numFmtId="4" fontId="10" fillId="2" borderId="0" xfId="2" applyNumberFormat="1" applyFont="1" applyFill="1" applyAlignment="1">
      <alignment vertical="center"/>
    </xf>
    <xf numFmtId="4" fontId="9" fillId="0" borderId="4" xfId="0" applyNumberFormat="1" applyFont="1" applyBorder="1"/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2" borderId="3" xfId="2" applyFont="1" applyFill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4" fontId="9" fillId="0" borderId="49" xfId="0" applyNumberFormat="1" applyFont="1" applyBorder="1"/>
    <xf numFmtId="4" fontId="9" fillId="0" borderId="13" xfId="0" applyNumberFormat="1" applyFont="1" applyBorder="1"/>
    <xf numFmtId="4" fontId="9" fillId="0" borderId="56" xfId="0" applyNumberFormat="1" applyFont="1" applyBorder="1"/>
    <xf numFmtId="0" fontId="9" fillId="0" borderId="0" xfId="2" applyFont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49" xfId="0" applyFont="1" applyBorder="1" applyAlignment="1">
      <alignment horizontal="center"/>
    </xf>
    <xf numFmtId="0" fontId="6" fillId="0" borderId="49" xfId="2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10" fillId="2" borderId="49" xfId="2" applyFont="1" applyFill="1" applyBorder="1" applyAlignment="1">
      <alignment horizontal="center" vertical="center"/>
    </xf>
    <xf numFmtId="4" fontId="9" fillId="0" borderId="3" xfId="0" applyNumberFormat="1" applyFont="1" applyBorder="1"/>
    <xf numFmtId="0" fontId="10" fillId="0" borderId="5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4" fontId="9" fillId="0" borderId="28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6" xfId="2" applyFont="1" applyBorder="1" applyAlignment="1">
      <alignment horizontal="left" vertical="center"/>
    </xf>
    <xf numFmtId="0" fontId="10" fillId="0" borderId="27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1" fontId="10" fillId="0" borderId="26" xfId="2" applyNumberFormat="1" applyFont="1" applyBorder="1" applyAlignment="1">
      <alignment vertical="center"/>
    </xf>
    <xf numFmtId="0" fontId="10" fillId="0" borderId="60" xfId="2" applyFont="1" applyBorder="1" applyAlignment="1">
      <alignment vertical="center"/>
    </xf>
    <xf numFmtId="0" fontId="10" fillId="0" borderId="29" xfId="2" applyFont="1" applyBorder="1" applyAlignment="1">
      <alignment vertical="center"/>
    </xf>
    <xf numFmtId="0" fontId="9" fillId="0" borderId="14" xfId="2" applyFont="1" applyBorder="1" applyAlignment="1">
      <alignment horizontal="left" vertical="center"/>
    </xf>
    <xf numFmtId="0" fontId="10" fillId="0" borderId="28" xfId="2" applyFont="1" applyBorder="1" applyAlignment="1">
      <alignment vertical="center"/>
    </xf>
    <xf numFmtId="4" fontId="10" fillId="2" borderId="43" xfId="2" applyNumberFormat="1" applyFont="1" applyFill="1" applyBorder="1" applyAlignment="1">
      <alignment vertical="center"/>
    </xf>
    <xf numFmtId="0" fontId="6" fillId="7" borderId="23" xfId="0" applyFont="1" applyFill="1" applyBorder="1" applyAlignment="1">
      <alignment horizontal="center" vertical="center" wrapText="1"/>
    </xf>
    <xf numFmtId="166" fontId="17" fillId="0" borderId="14" xfId="0" applyNumberFormat="1" applyFont="1" applyBorder="1"/>
    <xf numFmtId="167" fontId="9" fillId="0" borderId="14" xfId="5" applyNumberFormat="1" applyFont="1" applyFill="1" applyBorder="1" applyAlignment="1">
      <alignment vertical="center"/>
    </xf>
    <xf numFmtId="0" fontId="9" fillId="0" borderId="54" xfId="2" applyFont="1" applyFill="1" applyBorder="1" applyAlignment="1">
      <alignment vertical="center"/>
    </xf>
    <xf numFmtId="167" fontId="10" fillId="2" borderId="19" xfId="5" applyNumberFormat="1" applyFont="1" applyFill="1" applyBorder="1" applyAlignment="1">
      <alignment vertical="center"/>
    </xf>
    <xf numFmtId="167" fontId="10" fillId="0" borderId="3" xfId="5" applyNumberFormat="1" applyFont="1" applyFill="1" applyBorder="1" applyAlignment="1">
      <alignment vertical="center"/>
    </xf>
    <xf numFmtId="167" fontId="9" fillId="0" borderId="3" xfId="5" applyNumberFormat="1" applyFont="1" applyBorder="1" applyAlignment="1">
      <alignment vertical="center"/>
    </xf>
    <xf numFmtId="166" fontId="9" fillId="0" borderId="4" xfId="2" applyNumberFormat="1" applyFont="1" applyFill="1" applyBorder="1" applyAlignment="1">
      <alignment vertical="center"/>
    </xf>
    <xf numFmtId="166" fontId="9" fillId="0" borderId="4" xfId="2" applyNumberFormat="1" applyFont="1" applyBorder="1" applyAlignment="1">
      <alignment vertical="center"/>
    </xf>
    <xf numFmtId="166" fontId="10" fillId="2" borderId="18" xfId="2" applyNumberFormat="1" applyFont="1" applyFill="1" applyBorder="1" applyAlignment="1">
      <alignment vertical="center"/>
    </xf>
    <xf numFmtId="0" fontId="23" fillId="0" borderId="28" xfId="0" applyFont="1" applyBorder="1" applyAlignment="1">
      <alignment horizontal="center" vertical="center" wrapText="1"/>
    </xf>
    <xf numFmtId="10" fontId="23" fillId="0" borderId="2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2" fillId="0" borderId="28" xfId="0" applyNumberFormat="1" applyFont="1" applyBorder="1" applyAlignment="1">
      <alignment horizontal="center" vertical="center" wrapText="1"/>
    </xf>
    <xf numFmtId="10" fontId="2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2" fillId="0" borderId="36" xfId="0" applyFont="1" applyBorder="1" applyAlignment="1">
      <alignment horizontal="center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justify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wrapText="1"/>
    </xf>
    <xf numFmtId="9" fontId="2" fillId="0" borderId="32" xfId="0" applyNumberFormat="1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wrapText="1"/>
    </xf>
    <xf numFmtId="0" fontId="2" fillId="0" borderId="50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center" vertical="center" wrapText="1"/>
    </xf>
    <xf numFmtId="9" fontId="2" fillId="0" borderId="40" xfId="0" applyNumberFormat="1" applyFont="1" applyBorder="1" applyAlignment="1">
      <alignment horizontal="center" vertical="center" wrapText="1"/>
    </xf>
    <xf numFmtId="9" fontId="2" fillId="0" borderId="39" xfId="0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wrapText="1"/>
    </xf>
    <xf numFmtId="10" fontId="2" fillId="0" borderId="32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10" fontId="2" fillId="0" borderId="29" xfId="0" applyNumberFormat="1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wrapText="1"/>
    </xf>
    <xf numFmtId="0" fontId="23" fillId="9" borderId="3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justify" vertical="center" wrapText="1"/>
    </xf>
    <xf numFmtId="0" fontId="23" fillId="0" borderId="5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wrapText="1"/>
    </xf>
    <xf numFmtId="0" fontId="2" fillId="0" borderId="16" xfId="0" applyFont="1" applyBorder="1" applyAlignment="1">
      <alignment horizontal="justify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9" fontId="2" fillId="0" borderId="43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67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58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6" fillId="7" borderId="12" xfId="3" applyNumberFormat="1" applyFont="1" applyFill="1" applyBorder="1" applyAlignment="1" applyProtection="1">
      <alignment horizontal="center" vertical="center" wrapText="1"/>
    </xf>
    <xf numFmtId="49" fontId="6" fillId="7" borderId="11" xfId="3" applyNumberFormat="1" applyFont="1" applyFill="1" applyBorder="1" applyAlignment="1" applyProtection="1">
      <alignment horizontal="center" vertical="center" wrapText="1"/>
    </xf>
    <xf numFmtId="49" fontId="6" fillId="7" borderId="6" xfId="3" applyFont="1" applyFill="1" applyBorder="1" applyAlignment="1">
      <alignment horizontal="center" vertical="center" wrapText="1"/>
    </xf>
    <xf numFmtId="49" fontId="6" fillId="7" borderId="47" xfId="3" applyFont="1" applyFill="1" applyBorder="1" applyAlignment="1">
      <alignment horizontal="center" vertical="center" wrapText="1"/>
    </xf>
    <xf numFmtId="49" fontId="6" fillId="7" borderId="21" xfId="3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wrapText="1"/>
    </xf>
    <xf numFmtId="0" fontId="6" fillId="7" borderId="20" xfId="0" applyFont="1" applyFill="1" applyBorder="1" applyAlignment="1">
      <alignment horizontal="center" wrapText="1"/>
    </xf>
    <xf numFmtId="0" fontId="6" fillId="7" borderId="18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47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/>
    </xf>
    <xf numFmtId="0" fontId="18" fillId="7" borderId="18" xfId="0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49" fontId="10" fillId="7" borderId="32" xfId="3" applyFont="1" applyFill="1" applyBorder="1" applyAlignment="1">
      <alignment horizontal="center" vertical="center" wrapText="1"/>
    </xf>
    <xf numFmtId="49" fontId="10" fillId="7" borderId="31" xfId="3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49" fontId="10" fillId="7" borderId="30" xfId="3" applyFont="1" applyFill="1" applyBorder="1" applyAlignment="1">
      <alignment horizontal="center" vertical="center"/>
    </xf>
    <xf numFmtId="49" fontId="10" fillId="7" borderId="32" xfId="3" applyFont="1" applyFill="1" applyBorder="1" applyAlignment="1">
      <alignment horizontal="center" vertical="center"/>
    </xf>
    <xf numFmtId="49" fontId="10" fillId="7" borderId="31" xfId="3" applyFont="1" applyFill="1" applyBorder="1" applyAlignment="1">
      <alignment horizontal="center" vertical="center"/>
    </xf>
    <xf numFmtId="49" fontId="10" fillId="7" borderId="30" xfId="3" applyFont="1" applyFill="1" applyBorder="1" applyAlignment="1">
      <alignment horizontal="center" vertical="center" wrapText="1"/>
    </xf>
    <xf numFmtId="49" fontId="10" fillId="7" borderId="64" xfId="3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6" fillId="7" borderId="61" xfId="2" applyFont="1" applyFill="1" applyBorder="1" applyAlignment="1">
      <alignment horizontal="center" vertical="center"/>
    </xf>
    <xf numFmtId="0" fontId="6" fillId="7" borderId="65" xfId="2" applyFont="1" applyFill="1" applyBorder="1" applyAlignment="1">
      <alignment horizontal="center" vertical="center"/>
    </xf>
    <xf numFmtId="0" fontId="6" fillId="7" borderId="59" xfId="2" applyFont="1" applyFill="1" applyBorder="1" applyAlignment="1">
      <alignment horizontal="center" vertical="center"/>
    </xf>
    <xf numFmtId="0" fontId="10" fillId="7" borderId="47" xfId="2" applyFont="1" applyFill="1" applyBorder="1" applyAlignment="1">
      <alignment horizontal="center" vertical="center"/>
    </xf>
    <xf numFmtId="0" fontId="10" fillId="7" borderId="19" xfId="2" applyFont="1" applyFill="1" applyBorder="1" applyAlignment="1">
      <alignment horizontal="center" vertical="center"/>
    </xf>
    <xf numFmtId="0" fontId="10" fillId="7" borderId="18" xfId="2" applyFont="1" applyFill="1" applyBorder="1" applyAlignment="1">
      <alignment horizontal="center" vertical="center"/>
    </xf>
    <xf numFmtId="0" fontId="10" fillId="7" borderId="20" xfId="2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wrapText="1"/>
    </xf>
    <xf numFmtId="0" fontId="10" fillId="7" borderId="18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10" fillId="7" borderId="6" xfId="2" applyFont="1" applyFill="1" applyBorder="1" applyAlignment="1">
      <alignment horizontal="center" vertical="center" wrapText="1"/>
    </xf>
    <xf numFmtId="0" fontId="10" fillId="7" borderId="19" xfId="2" applyFont="1" applyFill="1" applyBorder="1" applyAlignment="1">
      <alignment horizontal="center" vertical="center" wrapText="1"/>
    </xf>
    <xf numFmtId="0" fontId="10" fillId="7" borderId="30" xfId="2" applyFont="1" applyFill="1" applyBorder="1" applyAlignment="1">
      <alignment horizontal="center" vertical="center" wrapText="1"/>
    </xf>
    <xf numFmtId="0" fontId="10" fillId="7" borderId="38" xfId="2" applyFont="1" applyFill="1" applyBorder="1" applyAlignment="1">
      <alignment horizontal="center" vertical="center" wrapText="1"/>
    </xf>
    <xf numFmtId="0" fontId="10" fillId="7" borderId="33" xfId="2" applyFont="1" applyFill="1" applyBorder="1" applyAlignment="1">
      <alignment horizontal="center" vertical="center" wrapText="1"/>
    </xf>
    <xf numFmtId="0" fontId="10" fillId="7" borderId="41" xfId="2" applyFont="1" applyFill="1" applyBorder="1" applyAlignment="1">
      <alignment horizontal="center" vertical="center" wrapText="1"/>
    </xf>
    <xf numFmtId="0" fontId="10" fillId="7" borderId="31" xfId="2" applyFont="1" applyFill="1" applyBorder="1" applyAlignment="1">
      <alignment horizontal="center" vertical="center" wrapText="1"/>
    </xf>
    <xf numFmtId="0" fontId="10" fillId="7" borderId="39" xfId="2" applyFont="1" applyFill="1" applyBorder="1" applyAlignment="1">
      <alignment horizontal="center" vertical="center" wrapText="1"/>
    </xf>
    <xf numFmtId="0" fontId="10" fillId="7" borderId="62" xfId="2" applyFont="1" applyFill="1" applyBorder="1" applyAlignment="1">
      <alignment horizontal="center" vertical="center" wrapText="1"/>
    </xf>
    <xf numFmtId="0" fontId="10" fillId="7" borderId="63" xfId="2" applyFont="1" applyFill="1" applyBorder="1" applyAlignment="1">
      <alignment horizontal="center" vertical="center" wrapText="1"/>
    </xf>
    <xf numFmtId="0" fontId="10" fillId="7" borderId="61" xfId="2" applyFont="1" applyFill="1" applyBorder="1" applyAlignment="1">
      <alignment horizontal="center" vertical="center" wrapText="1"/>
    </xf>
    <xf numFmtId="0" fontId="10" fillId="7" borderId="64" xfId="2" applyFont="1" applyFill="1" applyBorder="1" applyAlignment="1">
      <alignment horizontal="center" vertical="center" wrapText="1"/>
    </xf>
    <xf numFmtId="0" fontId="10" fillId="7" borderId="51" xfId="2" applyFont="1" applyFill="1" applyBorder="1" applyAlignment="1">
      <alignment horizontal="center" vertical="center" wrapText="1"/>
    </xf>
    <xf numFmtId="0" fontId="10" fillId="7" borderId="12" xfId="2" applyFont="1" applyFill="1" applyBorder="1" applyAlignment="1">
      <alignment horizontal="center" vertical="center"/>
    </xf>
    <xf numFmtId="0" fontId="10" fillId="7" borderId="5" xfId="2" applyFont="1" applyFill="1" applyBorder="1" applyAlignment="1">
      <alignment horizontal="center" vertical="center"/>
    </xf>
    <xf numFmtId="0" fontId="10" fillId="7" borderId="11" xfId="2" applyFont="1" applyFill="1" applyBorder="1" applyAlignment="1">
      <alignment horizontal="center" vertical="center"/>
    </xf>
    <xf numFmtId="0" fontId="10" fillId="8" borderId="19" xfId="4" applyFont="1" applyFill="1" applyBorder="1" applyAlignment="1">
      <alignment horizontal="center"/>
    </xf>
    <xf numFmtId="0" fontId="10" fillId="8" borderId="20" xfId="4" applyFont="1" applyFill="1" applyBorder="1" applyAlignment="1">
      <alignment horizontal="center"/>
    </xf>
    <xf numFmtId="0" fontId="10" fillId="8" borderId="5" xfId="4" applyFont="1" applyFill="1" applyBorder="1" applyAlignment="1">
      <alignment horizontal="center" vertical="center"/>
    </xf>
    <xf numFmtId="0" fontId="10" fillId="8" borderId="14" xfId="4" applyFont="1" applyFill="1" applyBorder="1" applyAlignment="1">
      <alignment horizontal="center" vertical="center"/>
    </xf>
    <xf numFmtId="165" fontId="10" fillId="7" borderId="19" xfId="0" applyNumberFormat="1" applyFont="1" applyFill="1" applyBorder="1" applyAlignment="1">
      <alignment horizontal="center" vertical="center" wrapText="1"/>
    </xf>
    <xf numFmtId="165" fontId="10" fillId="7" borderId="20" xfId="0" applyNumberFormat="1" applyFont="1" applyFill="1" applyBorder="1" applyAlignment="1">
      <alignment horizontal="center" vertical="center" wrapText="1"/>
    </xf>
    <xf numFmtId="165" fontId="10" fillId="7" borderId="18" xfId="0" applyNumberFormat="1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</cellXfs>
  <cellStyles count="6">
    <cellStyle name="Millares" xfId="5" builtinId="3"/>
    <cellStyle name="Normal" xfId="0" builtinId="0"/>
    <cellStyle name="Normal 2" xfId="4" xr:uid="{00000000-0005-0000-0000-000002000000}"/>
    <cellStyle name="Normal_ESTR98" xfId="1" xr:uid="{00000000-0005-0000-0000-000003000000}"/>
    <cellStyle name="Normal_PLAZAS98" xfId="2" xr:uid="{00000000-0005-0000-0000-000004000000}"/>
    <cellStyle name="Normal_SPGG98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SR34"/>
  <sheetViews>
    <sheetView zoomScaleNormal="100" zoomScaleSheetLayoutView="100" zoomScalePageLayoutView="115" workbookViewId="0">
      <selection activeCell="H25" sqref="H25"/>
    </sheetView>
  </sheetViews>
  <sheetFormatPr baseColWidth="10" defaultColWidth="11.42578125" defaultRowHeight="12.75" x14ac:dyDescent="0.2"/>
  <cols>
    <col min="1" max="1" width="19.85546875" style="130" customWidth="1"/>
    <col min="2" max="2" width="69.85546875" style="131" customWidth="1"/>
    <col min="3" max="5" width="8.7109375" style="130" customWidth="1"/>
    <col min="6" max="16384" width="11.42578125" style="130"/>
  </cols>
  <sheetData>
    <row r="1" spans="1:512" s="129" customFormat="1" ht="15.75" x14ac:dyDescent="0.2">
      <c r="A1" s="127" t="s">
        <v>374</v>
      </c>
      <c r="B1" s="128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  <c r="BP1" s="135"/>
      <c r="BQ1" s="135"/>
      <c r="BR1" s="135"/>
      <c r="BS1" s="135"/>
      <c r="BT1" s="135"/>
      <c r="BU1" s="135"/>
      <c r="BV1" s="135"/>
      <c r="BW1" s="135"/>
      <c r="BX1" s="135"/>
      <c r="BY1" s="135"/>
      <c r="BZ1" s="135"/>
      <c r="CA1" s="135"/>
      <c r="CB1" s="135"/>
      <c r="CC1" s="135"/>
      <c r="CD1" s="135"/>
      <c r="CE1" s="135"/>
      <c r="CF1" s="135"/>
      <c r="CG1" s="135"/>
      <c r="CH1" s="135"/>
      <c r="CI1" s="135"/>
      <c r="CJ1" s="135"/>
      <c r="CK1" s="135"/>
      <c r="CL1" s="135"/>
      <c r="CM1" s="135"/>
      <c r="CN1" s="135"/>
      <c r="CO1" s="135"/>
      <c r="CP1" s="135"/>
      <c r="CQ1" s="135"/>
      <c r="CR1" s="135"/>
      <c r="CS1" s="135"/>
      <c r="CT1" s="135"/>
      <c r="CU1" s="135"/>
      <c r="CV1" s="135"/>
      <c r="CW1" s="135"/>
      <c r="CX1" s="135"/>
      <c r="CY1" s="135"/>
      <c r="CZ1" s="135"/>
      <c r="DA1" s="135"/>
      <c r="DB1" s="135"/>
      <c r="DC1" s="135"/>
      <c r="DD1" s="135"/>
      <c r="DE1" s="135"/>
      <c r="DF1" s="135"/>
      <c r="DG1" s="135"/>
      <c r="DH1" s="135"/>
      <c r="DI1" s="135"/>
      <c r="DJ1" s="135"/>
      <c r="DK1" s="135"/>
      <c r="DL1" s="135"/>
      <c r="DM1" s="135"/>
      <c r="DN1" s="135"/>
      <c r="DO1" s="135"/>
      <c r="DP1" s="135"/>
      <c r="DQ1" s="135"/>
      <c r="DR1" s="135"/>
      <c r="DS1" s="135"/>
      <c r="DT1" s="135"/>
      <c r="DU1" s="135"/>
      <c r="DV1" s="135"/>
      <c r="DW1" s="135"/>
      <c r="DX1" s="135"/>
      <c r="DY1" s="135"/>
      <c r="DZ1" s="135"/>
      <c r="EA1" s="135"/>
      <c r="EB1" s="135"/>
      <c r="EC1" s="135"/>
      <c r="ED1" s="135"/>
      <c r="EE1" s="135"/>
      <c r="EF1" s="135"/>
      <c r="EG1" s="135"/>
      <c r="EH1" s="135"/>
      <c r="EI1" s="135"/>
      <c r="EJ1" s="135"/>
      <c r="EK1" s="135"/>
      <c r="EL1" s="135"/>
      <c r="EM1" s="135"/>
      <c r="EN1" s="135"/>
      <c r="EO1" s="135"/>
      <c r="EP1" s="135"/>
      <c r="EQ1" s="135"/>
      <c r="ER1" s="135"/>
      <c r="ES1" s="135"/>
      <c r="ET1" s="135"/>
      <c r="EU1" s="135"/>
      <c r="EV1" s="135"/>
      <c r="EW1" s="135"/>
      <c r="EX1" s="135"/>
      <c r="EY1" s="135"/>
      <c r="EZ1" s="135"/>
      <c r="FA1" s="135"/>
      <c r="FB1" s="135"/>
      <c r="FC1" s="135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  <c r="IR1" s="135"/>
      <c r="IS1" s="135"/>
      <c r="IT1" s="135"/>
      <c r="IU1" s="135"/>
      <c r="IV1" s="135"/>
      <c r="IW1" s="135"/>
      <c r="IX1" s="135"/>
      <c r="IY1" s="135"/>
      <c r="IZ1" s="135"/>
      <c r="JA1" s="135"/>
      <c r="JB1" s="135"/>
      <c r="JC1" s="135"/>
      <c r="JD1" s="135"/>
      <c r="JE1" s="135"/>
      <c r="JF1" s="135"/>
      <c r="JG1" s="135"/>
      <c r="JH1" s="135"/>
      <c r="JI1" s="135"/>
      <c r="JJ1" s="135"/>
      <c r="JK1" s="135"/>
      <c r="JL1" s="135"/>
      <c r="JM1" s="135"/>
      <c r="JN1" s="135"/>
      <c r="JO1" s="135"/>
      <c r="JP1" s="135"/>
      <c r="JQ1" s="135"/>
      <c r="JR1" s="135"/>
      <c r="JS1" s="135"/>
      <c r="JT1" s="135"/>
      <c r="JU1" s="135"/>
      <c r="JV1" s="135"/>
      <c r="JW1" s="135"/>
      <c r="JX1" s="135"/>
      <c r="JY1" s="135"/>
      <c r="JZ1" s="135"/>
      <c r="KA1" s="135"/>
      <c r="KB1" s="135"/>
      <c r="KC1" s="135"/>
      <c r="KD1" s="135"/>
      <c r="KE1" s="135"/>
      <c r="KF1" s="135"/>
      <c r="KG1" s="135"/>
      <c r="KH1" s="135"/>
      <c r="KI1" s="135"/>
      <c r="KJ1" s="135"/>
      <c r="KK1" s="135"/>
      <c r="KL1" s="135"/>
      <c r="KM1" s="135"/>
      <c r="KN1" s="135"/>
      <c r="KO1" s="135"/>
      <c r="KP1" s="135"/>
      <c r="KQ1" s="135"/>
      <c r="KR1" s="135"/>
      <c r="KS1" s="135"/>
      <c r="KT1" s="135"/>
      <c r="KU1" s="135"/>
      <c r="KV1" s="135"/>
      <c r="KW1" s="135"/>
      <c r="KX1" s="135"/>
      <c r="KY1" s="135"/>
      <c r="KZ1" s="135"/>
      <c r="LA1" s="135"/>
      <c r="LB1" s="135"/>
      <c r="LC1" s="135"/>
      <c r="LD1" s="135"/>
      <c r="LE1" s="135"/>
      <c r="LF1" s="135"/>
      <c r="LG1" s="135"/>
      <c r="LH1" s="135"/>
      <c r="LI1" s="135"/>
      <c r="LJ1" s="135"/>
      <c r="LK1" s="135"/>
      <c r="LL1" s="135"/>
      <c r="LM1" s="135"/>
      <c r="LN1" s="135"/>
      <c r="LO1" s="135"/>
      <c r="LP1" s="135"/>
      <c r="LQ1" s="135"/>
      <c r="LR1" s="135"/>
      <c r="LS1" s="135"/>
      <c r="LT1" s="135"/>
      <c r="LU1" s="135"/>
      <c r="LV1" s="135"/>
      <c r="LW1" s="135"/>
      <c r="LX1" s="135"/>
      <c r="LY1" s="135"/>
      <c r="LZ1" s="135"/>
      <c r="MA1" s="135"/>
      <c r="MB1" s="135"/>
      <c r="MC1" s="135"/>
      <c r="MD1" s="135"/>
      <c r="ME1" s="135"/>
      <c r="MF1" s="135"/>
      <c r="MG1" s="135"/>
      <c r="MH1" s="135"/>
      <c r="MI1" s="135"/>
      <c r="MJ1" s="135"/>
      <c r="MK1" s="135"/>
      <c r="ML1" s="135"/>
      <c r="MM1" s="135"/>
      <c r="MN1" s="135"/>
      <c r="MO1" s="135"/>
      <c r="MP1" s="135"/>
      <c r="MQ1" s="135"/>
      <c r="MR1" s="135"/>
      <c r="MS1" s="135"/>
      <c r="MT1" s="135"/>
      <c r="MU1" s="135"/>
      <c r="MV1" s="135"/>
      <c r="MW1" s="135"/>
      <c r="MX1" s="135"/>
      <c r="MY1" s="135"/>
      <c r="MZ1" s="135"/>
      <c r="NA1" s="135"/>
      <c r="NB1" s="135"/>
      <c r="NC1" s="135"/>
      <c r="ND1" s="135"/>
      <c r="NE1" s="135"/>
      <c r="NF1" s="135"/>
      <c r="NG1" s="135"/>
      <c r="NH1" s="135"/>
      <c r="NI1" s="135"/>
      <c r="NJ1" s="135"/>
      <c r="NK1" s="135"/>
      <c r="NL1" s="135"/>
      <c r="NM1" s="135"/>
      <c r="NN1" s="135"/>
      <c r="NO1" s="135"/>
      <c r="NP1" s="135"/>
      <c r="NQ1" s="135"/>
      <c r="NR1" s="135"/>
      <c r="NS1" s="135"/>
      <c r="NT1" s="135"/>
      <c r="NU1" s="135"/>
      <c r="NV1" s="135"/>
      <c r="NW1" s="135"/>
      <c r="NX1" s="135"/>
      <c r="NY1" s="135"/>
      <c r="NZ1" s="135"/>
      <c r="OA1" s="135"/>
      <c r="OB1" s="135"/>
      <c r="OC1" s="135"/>
      <c r="OD1" s="135"/>
      <c r="OE1" s="135"/>
      <c r="OF1" s="135"/>
      <c r="OG1" s="135"/>
      <c r="OH1" s="135"/>
      <c r="OI1" s="135"/>
      <c r="OJ1" s="135"/>
      <c r="OK1" s="135"/>
      <c r="OL1" s="135"/>
      <c r="OM1" s="135"/>
      <c r="ON1" s="135"/>
      <c r="OO1" s="135"/>
      <c r="OP1" s="135"/>
      <c r="OQ1" s="135"/>
      <c r="OR1" s="135"/>
      <c r="OS1" s="135"/>
      <c r="OT1" s="135"/>
      <c r="OU1" s="135"/>
      <c r="OV1" s="135"/>
      <c r="OW1" s="135"/>
      <c r="OX1" s="135"/>
      <c r="OY1" s="135"/>
      <c r="OZ1" s="135"/>
      <c r="PA1" s="135"/>
      <c r="PB1" s="135"/>
      <c r="PC1" s="135"/>
      <c r="PD1" s="135"/>
      <c r="PE1" s="135"/>
      <c r="PF1" s="135"/>
      <c r="PG1" s="135"/>
      <c r="PH1" s="135"/>
      <c r="PI1" s="135"/>
      <c r="PJ1" s="135"/>
      <c r="PK1" s="135"/>
      <c r="PL1" s="135"/>
      <c r="PM1" s="135"/>
      <c r="PN1" s="135"/>
      <c r="PO1" s="135"/>
      <c r="PP1" s="135"/>
      <c r="PQ1" s="135"/>
      <c r="PR1" s="135"/>
      <c r="PS1" s="135"/>
      <c r="PT1" s="135"/>
      <c r="PU1" s="135"/>
      <c r="PV1" s="135"/>
      <c r="PW1" s="135"/>
      <c r="PX1" s="135"/>
      <c r="PY1" s="135"/>
      <c r="PZ1" s="135"/>
      <c r="QA1" s="135"/>
      <c r="QB1" s="135"/>
      <c r="QC1" s="135"/>
      <c r="QD1" s="135"/>
      <c r="QE1" s="135"/>
      <c r="QF1" s="135"/>
      <c r="QG1" s="135"/>
      <c r="QH1" s="135"/>
      <c r="QI1" s="135"/>
      <c r="QJ1" s="135"/>
      <c r="QK1" s="135"/>
      <c r="QL1" s="135"/>
      <c r="QM1" s="135"/>
      <c r="QN1" s="135"/>
      <c r="QO1" s="135"/>
      <c r="QP1" s="135"/>
      <c r="QQ1" s="135"/>
      <c r="QR1" s="135"/>
      <c r="QS1" s="135"/>
      <c r="QT1" s="135"/>
      <c r="QU1" s="135"/>
      <c r="QV1" s="135"/>
      <c r="QW1" s="135"/>
      <c r="QX1" s="135"/>
      <c r="QY1" s="135"/>
      <c r="QZ1" s="135"/>
      <c r="RA1" s="135"/>
      <c r="RB1" s="135"/>
      <c r="RC1" s="135"/>
      <c r="RD1" s="135"/>
      <c r="RE1" s="135"/>
      <c r="RF1" s="135"/>
      <c r="RG1" s="135"/>
      <c r="RH1" s="135"/>
      <c r="RI1" s="135"/>
      <c r="RJ1" s="135"/>
      <c r="RK1" s="135"/>
      <c r="RL1" s="135"/>
      <c r="RM1" s="135"/>
      <c r="RN1" s="135"/>
      <c r="RO1" s="135"/>
      <c r="RP1" s="135"/>
      <c r="RQ1" s="135"/>
      <c r="RR1" s="135"/>
      <c r="RS1" s="135"/>
      <c r="RT1" s="135"/>
      <c r="RU1" s="135"/>
      <c r="RV1" s="135"/>
      <c r="RW1" s="135"/>
      <c r="RX1" s="135"/>
      <c r="RY1" s="135"/>
      <c r="RZ1" s="135"/>
      <c r="SA1" s="135"/>
      <c r="SB1" s="135"/>
      <c r="SC1" s="135"/>
      <c r="SD1" s="135"/>
      <c r="SE1" s="135"/>
      <c r="SF1" s="135"/>
      <c r="SG1" s="135"/>
      <c r="SH1" s="135"/>
      <c r="SI1" s="135"/>
      <c r="SJ1" s="135"/>
      <c r="SK1" s="135"/>
      <c r="SL1" s="135"/>
      <c r="SM1" s="135"/>
      <c r="SN1" s="135"/>
      <c r="SO1" s="135"/>
      <c r="SP1" s="135"/>
      <c r="SQ1" s="135"/>
      <c r="SR1" s="135"/>
    </row>
    <row r="2" spans="1:512" x14ac:dyDescent="0.2">
      <c r="C2" s="132"/>
      <c r="D2" s="132"/>
      <c r="E2" s="137"/>
      <c r="F2" s="136"/>
    </row>
    <row r="3" spans="1:512" x14ac:dyDescent="0.2">
      <c r="A3" s="133" t="s">
        <v>394</v>
      </c>
      <c r="E3" s="136"/>
      <c r="F3" s="136"/>
    </row>
    <row r="4" spans="1:512" x14ac:dyDescent="0.2">
      <c r="E4" s="136"/>
      <c r="F4" s="136"/>
    </row>
    <row r="5" spans="1:512" s="350" customFormat="1" ht="27" customHeight="1" x14ac:dyDescent="0.2">
      <c r="A5" s="356" t="s">
        <v>376</v>
      </c>
      <c r="B5" s="504" t="s">
        <v>375</v>
      </c>
      <c r="C5" s="505"/>
      <c r="D5" s="505"/>
      <c r="E5" s="506"/>
      <c r="F5" s="351"/>
    </row>
    <row r="6" spans="1:512" x14ac:dyDescent="0.2">
      <c r="A6" s="133"/>
      <c r="B6" s="349"/>
      <c r="C6" s="350"/>
      <c r="D6" s="350"/>
      <c r="E6" s="351"/>
      <c r="F6" s="136"/>
    </row>
    <row r="7" spans="1:512" x14ac:dyDescent="0.2">
      <c r="A7" s="133" t="s">
        <v>395</v>
      </c>
      <c r="B7" s="349"/>
      <c r="C7" s="350"/>
      <c r="D7" s="350"/>
      <c r="E7" s="351"/>
      <c r="F7" s="136"/>
    </row>
    <row r="8" spans="1:512" x14ac:dyDescent="0.2">
      <c r="A8" s="133"/>
      <c r="B8" s="349"/>
      <c r="C8" s="350"/>
      <c r="D8" s="350"/>
      <c r="E8" s="351"/>
      <c r="F8" s="136"/>
    </row>
    <row r="9" spans="1:512" s="350" customFormat="1" ht="27" customHeight="1" x14ac:dyDescent="0.2">
      <c r="A9" s="356" t="s">
        <v>377</v>
      </c>
      <c r="B9" s="504" t="s">
        <v>445</v>
      </c>
      <c r="C9" s="505"/>
      <c r="D9" s="505"/>
      <c r="E9" s="506"/>
      <c r="F9" s="351"/>
    </row>
    <row r="10" spans="1:512" s="350" customFormat="1" ht="27" customHeight="1" x14ac:dyDescent="0.2">
      <c r="A10" s="356" t="s">
        <v>378</v>
      </c>
      <c r="B10" s="504" t="s">
        <v>446</v>
      </c>
      <c r="C10" s="505"/>
      <c r="D10" s="505"/>
      <c r="E10" s="506"/>
      <c r="F10" s="351"/>
    </row>
    <row r="11" spans="1:512" s="350" customFormat="1" ht="27" customHeight="1" x14ac:dyDescent="0.2">
      <c r="A11" s="356" t="s">
        <v>379</v>
      </c>
      <c r="B11" s="504" t="s">
        <v>447</v>
      </c>
      <c r="C11" s="505"/>
      <c r="D11" s="505"/>
      <c r="E11" s="506"/>
      <c r="F11" s="351"/>
    </row>
    <row r="12" spans="1:512" s="350" customFormat="1" ht="27" customHeight="1" x14ac:dyDescent="0.2">
      <c r="A12" s="356" t="s">
        <v>380</v>
      </c>
      <c r="B12" s="504" t="s">
        <v>448</v>
      </c>
      <c r="C12" s="505"/>
      <c r="D12" s="505"/>
      <c r="E12" s="506"/>
      <c r="F12" s="351"/>
    </row>
    <row r="13" spans="1:512" s="350" customFormat="1" ht="27" customHeight="1" x14ac:dyDescent="0.2">
      <c r="A13" s="356" t="s">
        <v>381</v>
      </c>
      <c r="B13" s="504" t="s">
        <v>449</v>
      </c>
      <c r="C13" s="505"/>
      <c r="D13" s="505"/>
      <c r="E13" s="506"/>
      <c r="F13" s="351"/>
    </row>
    <row r="14" spans="1:512" s="350" customFormat="1" ht="27" customHeight="1" x14ac:dyDescent="0.2">
      <c r="A14" s="356" t="s">
        <v>382</v>
      </c>
      <c r="B14" s="504" t="s">
        <v>450</v>
      </c>
      <c r="C14" s="505"/>
      <c r="D14" s="505"/>
      <c r="E14" s="506"/>
      <c r="F14" s="351"/>
    </row>
    <row r="15" spans="1:512" s="350" customFormat="1" ht="27" customHeight="1" x14ac:dyDescent="0.2">
      <c r="A15" s="356" t="s">
        <v>383</v>
      </c>
      <c r="B15" s="504" t="s">
        <v>451</v>
      </c>
      <c r="C15" s="505"/>
      <c r="D15" s="505"/>
      <c r="E15" s="506"/>
      <c r="F15" s="351"/>
    </row>
    <row r="16" spans="1:512" x14ac:dyDescent="0.2">
      <c r="A16" s="133"/>
      <c r="B16" s="349"/>
      <c r="C16" s="350"/>
      <c r="D16" s="350"/>
      <c r="E16" s="351"/>
      <c r="F16" s="136"/>
    </row>
    <row r="17" spans="1:6" x14ac:dyDescent="0.2">
      <c r="A17" s="133" t="s">
        <v>396</v>
      </c>
      <c r="B17" s="349"/>
      <c r="C17" s="350"/>
      <c r="D17" s="350"/>
      <c r="E17" s="351"/>
      <c r="F17" s="136"/>
    </row>
    <row r="18" spans="1:6" x14ac:dyDescent="0.2">
      <c r="A18" s="133"/>
      <c r="B18" s="349"/>
      <c r="C18" s="350"/>
      <c r="D18" s="350"/>
      <c r="E18" s="351"/>
      <c r="F18" s="136"/>
    </row>
    <row r="19" spans="1:6" s="350" customFormat="1" ht="27" customHeight="1" x14ac:dyDescent="0.2">
      <c r="A19" s="356" t="s">
        <v>384</v>
      </c>
      <c r="B19" s="504" t="s">
        <v>452</v>
      </c>
      <c r="C19" s="505"/>
      <c r="D19" s="505"/>
      <c r="E19" s="506"/>
      <c r="F19" s="351"/>
    </row>
    <row r="20" spans="1:6" s="350" customFormat="1" ht="27" customHeight="1" x14ac:dyDescent="0.2">
      <c r="A20" s="356" t="s">
        <v>385</v>
      </c>
      <c r="B20" s="504" t="s">
        <v>453</v>
      </c>
      <c r="C20" s="505"/>
      <c r="D20" s="505"/>
      <c r="E20" s="506"/>
      <c r="F20" s="351"/>
    </row>
    <row r="21" spans="1:6" s="350" customFormat="1" ht="27" customHeight="1" x14ac:dyDescent="0.2">
      <c r="A21" s="356" t="s">
        <v>386</v>
      </c>
      <c r="B21" s="504" t="s">
        <v>454</v>
      </c>
      <c r="C21" s="505"/>
      <c r="D21" s="505"/>
      <c r="E21" s="506"/>
      <c r="F21" s="351"/>
    </row>
    <row r="22" spans="1:6" x14ac:dyDescent="0.2">
      <c r="A22" s="133"/>
      <c r="B22" s="349"/>
      <c r="C22" s="350"/>
      <c r="D22" s="350"/>
      <c r="E22" s="351"/>
      <c r="F22" s="136"/>
    </row>
    <row r="23" spans="1:6" x14ac:dyDescent="0.2">
      <c r="A23" s="133" t="s">
        <v>397</v>
      </c>
      <c r="B23" s="349"/>
      <c r="C23" s="350"/>
      <c r="D23" s="350"/>
      <c r="E23" s="351"/>
      <c r="F23" s="136"/>
    </row>
    <row r="24" spans="1:6" x14ac:dyDescent="0.2">
      <c r="A24" s="133"/>
      <c r="B24" s="349"/>
      <c r="C24" s="350"/>
      <c r="D24" s="350"/>
      <c r="E24" s="351"/>
      <c r="F24" s="136"/>
    </row>
    <row r="25" spans="1:6" s="350" customFormat="1" ht="27" customHeight="1" x14ac:dyDescent="0.2">
      <c r="A25" s="356" t="s">
        <v>387</v>
      </c>
      <c r="B25" s="504" t="s">
        <v>455</v>
      </c>
      <c r="C25" s="505"/>
      <c r="D25" s="505"/>
      <c r="E25" s="506"/>
      <c r="F25" s="351"/>
    </row>
    <row r="26" spans="1:6" s="350" customFormat="1" ht="27" customHeight="1" x14ac:dyDescent="0.2">
      <c r="A26" s="356" t="s">
        <v>388</v>
      </c>
      <c r="B26" s="504" t="s">
        <v>456</v>
      </c>
      <c r="C26" s="505"/>
      <c r="D26" s="505"/>
      <c r="E26" s="506"/>
      <c r="F26" s="351"/>
    </row>
    <row r="27" spans="1:6" s="350" customFormat="1" ht="27" customHeight="1" x14ac:dyDescent="0.2">
      <c r="A27" s="356" t="s">
        <v>389</v>
      </c>
      <c r="B27" s="504" t="s">
        <v>457</v>
      </c>
      <c r="C27" s="505"/>
      <c r="D27" s="505"/>
      <c r="E27" s="506"/>
      <c r="F27" s="351"/>
    </row>
    <row r="28" spans="1:6" s="350" customFormat="1" ht="27" customHeight="1" x14ac:dyDescent="0.2">
      <c r="A28" s="356" t="s">
        <v>390</v>
      </c>
      <c r="B28" s="504" t="s">
        <v>458</v>
      </c>
      <c r="C28" s="505"/>
      <c r="D28" s="505"/>
      <c r="E28" s="506"/>
      <c r="F28" s="351"/>
    </row>
    <row r="29" spans="1:6" s="350" customFormat="1" ht="27" customHeight="1" x14ac:dyDescent="0.2">
      <c r="A29" s="356" t="s">
        <v>391</v>
      </c>
      <c r="B29" s="504" t="s">
        <v>459</v>
      </c>
      <c r="C29" s="505"/>
      <c r="D29" s="505"/>
      <c r="E29" s="506"/>
      <c r="F29" s="351"/>
    </row>
    <row r="30" spans="1:6" x14ac:dyDescent="0.2">
      <c r="A30" s="133"/>
      <c r="B30" s="349"/>
      <c r="C30" s="350"/>
      <c r="D30" s="350"/>
      <c r="E30" s="351"/>
      <c r="F30" s="136"/>
    </row>
    <row r="31" spans="1:6" x14ac:dyDescent="0.2">
      <c r="A31" s="133" t="s">
        <v>20</v>
      </c>
      <c r="B31" s="349"/>
      <c r="C31" s="350"/>
      <c r="D31" s="350"/>
      <c r="E31" s="351"/>
      <c r="F31" s="136"/>
    </row>
    <row r="32" spans="1:6" x14ac:dyDescent="0.2">
      <c r="A32" s="133"/>
      <c r="B32" s="349"/>
      <c r="C32" s="350"/>
      <c r="D32" s="350"/>
      <c r="E32" s="351"/>
      <c r="F32" s="136"/>
    </row>
    <row r="33" spans="1:6" s="350" customFormat="1" ht="27" customHeight="1" x14ac:dyDescent="0.2">
      <c r="A33" s="356" t="s">
        <v>392</v>
      </c>
      <c r="B33" s="504" t="s">
        <v>460</v>
      </c>
      <c r="C33" s="505"/>
      <c r="D33" s="505"/>
      <c r="E33" s="506"/>
      <c r="F33" s="351"/>
    </row>
    <row r="34" spans="1:6" s="350" customFormat="1" ht="27" customHeight="1" x14ac:dyDescent="0.2">
      <c r="A34" s="356" t="s">
        <v>393</v>
      </c>
      <c r="B34" s="504" t="s">
        <v>461</v>
      </c>
      <c r="C34" s="505"/>
      <c r="D34" s="505"/>
      <c r="E34" s="506"/>
      <c r="F34" s="351"/>
    </row>
  </sheetData>
  <mergeCells count="18">
    <mergeCell ref="B5:E5"/>
    <mergeCell ref="B12:E12"/>
    <mergeCell ref="B13:E13"/>
    <mergeCell ref="B14:E14"/>
    <mergeCell ref="B19:E19"/>
    <mergeCell ref="B33:E33"/>
    <mergeCell ref="B34:E34"/>
    <mergeCell ref="B9:E9"/>
    <mergeCell ref="B10:E10"/>
    <mergeCell ref="B11:E11"/>
    <mergeCell ref="B15:E15"/>
    <mergeCell ref="B21:E21"/>
    <mergeCell ref="B25:E25"/>
    <mergeCell ref="B26:E26"/>
    <mergeCell ref="B27:E27"/>
    <mergeCell ref="B28:E28"/>
    <mergeCell ref="B29:E29"/>
    <mergeCell ref="B20:E20"/>
  </mergeCells>
  <pageMargins left="0.8203125" right="0.70866141732283472" top="0.74803149606299213" bottom="0.74803149606299213" header="0.31496062992125984" footer="0.31496062992125984"/>
  <pageSetup paperSize="9" scale="75" orientation="portrait" r:id="rId1"/>
  <headerFooter>
    <oddHeader>&amp;C&amp;"Arial,Negrita"&amp;18FORMATOS DEL 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B35"/>
  <sheetViews>
    <sheetView topLeftCell="A6" zoomScaleNormal="100" zoomScaleSheetLayoutView="90" zoomScalePageLayoutView="85" workbookViewId="0">
      <selection activeCell="W33" sqref="W33"/>
    </sheetView>
  </sheetViews>
  <sheetFormatPr baseColWidth="10" defaultColWidth="11.42578125" defaultRowHeight="12.75" x14ac:dyDescent="0.2"/>
  <cols>
    <col min="1" max="1" width="41.28515625" style="28" customWidth="1"/>
    <col min="2" max="11" width="7" style="28" customWidth="1"/>
    <col min="12" max="12" width="11.85546875" style="28" bestFit="1" customWidth="1"/>
    <col min="13" max="22" width="7" style="28" customWidth="1"/>
    <col min="23" max="23" width="11.28515625" style="28" bestFit="1" customWidth="1"/>
    <col min="24" max="24" width="1.7109375" style="117" customWidth="1"/>
    <col min="25" max="28" width="10.7109375" customWidth="1"/>
    <col min="29" max="16384" width="11.42578125" style="138"/>
  </cols>
  <sheetData>
    <row r="1" spans="1:28" s="143" customFormat="1" ht="15.75" x14ac:dyDescent="0.2">
      <c r="A1" s="316" t="s">
        <v>422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4"/>
    </row>
    <row r="2" spans="1:28" s="143" customFormat="1" ht="15.75" x14ac:dyDescent="0.2">
      <c r="A2" s="316" t="s">
        <v>535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4"/>
    </row>
    <row r="3" spans="1:28" s="121" customFormat="1" ht="15.75" x14ac:dyDescent="0.25">
      <c r="A3" s="317" t="s">
        <v>342</v>
      </c>
      <c r="X3" s="116"/>
    </row>
    <row r="4" spans="1:28" ht="13.5" thickBot="1" x14ac:dyDescent="0.25">
      <c r="L4" s="29"/>
      <c r="W4" s="29"/>
    </row>
    <row r="5" spans="1:28" s="90" customFormat="1" ht="26.25" customHeight="1" x14ac:dyDescent="0.2">
      <c r="A5" s="211" t="s">
        <v>10</v>
      </c>
      <c r="B5" s="563" t="s">
        <v>420</v>
      </c>
      <c r="C5" s="564"/>
      <c r="D5" s="564"/>
      <c r="E5" s="564"/>
      <c r="F5" s="564"/>
      <c r="G5" s="564"/>
      <c r="H5" s="564"/>
      <c r="I5" s="564"/>
      <c r="J5" s="564"/>
      <c r="K5" s="564"/>
      <c r="L5" s="565"/>
      <c r="M5" s="563" t="s">
        <v>421</v>
      </c>
      <c r="N5" s="564"/>
      <c r="O5" s="564"/>
      <c r="P5" s="564"/>
      <c r="Q5" s="564"/>
      <c r="R5" s="564"/>
      <c r="S5" s="564"/>
      <c r="T5" s="564"/>
      <c r="U5" s="564"/>
      <c r="V5" s="564"/>
      <c r="W5" s="565"/>
      <c r="X5" s="118"/>
    </row>
    <row r="6" spans="1:28" s="91" customFormat="1" ht="99.95" customHeight="1" x14ac:dyDescent="0.2">
      <c r="A6" s="212" t="s">
        <v>9</v>
      </c>
      <c r="B6" s="213" t="s">
        <v>343</v>
      </c>
      <c r="C6" s="213" t="s">
        <v>117</v>
      </c>
      <c r="D6" s="214" t="s">
        <v>291</v>
      </c>
      <c r="E6" s="214" t="s">
        <v>280</v>
      </c>
      <c r="F6" s="214" t="s">
        <v>292</v>
      </c>
      <c r="G6" s="214" t="s">
        <v>293</v>
      </c>
      <c r="H6" s="214" t="s">
        <v>294</v>
      </c>
      <c r="I6" s="214" t="s">
        <v>299</v>
      </c>
      <c r="J6" s="215" t="s">
        <v>295</v>
      </c>
      <c r="K6" s="216" t="s">
        <v>296</v>
      </c>
      <c r="L6" s="217" t="s">
        <v>298</v>
      </c>
      <c r="M6" s="213" t="s">
        <v>343</v>
      </c>
      <c r="N6" s="213" t="s">
        <v>117</v>
      </c>
      <c r="O6" s="214" t="s">
        <v>291</v>
      </c>
      <c r="P6" s="214" t="s">
        <v>280</v>
      </c>
      <c r="Q6" s="214" t="s">
        <v>292</v>
      </c>
      <c r="R6" s="214" t="s">
        <v>293</v>
      </c>
      <c r="S6" s="214" t="s">
        <v>294</v>
      </c>
      <c r="T6" s="214" t="s">
        <v>299</v>
      </c>
      <c r="U6" s="215" t="s">
        <v>295</v>
      </c>
      <c r="V6" s="216" t="s">
        <v>296</v>
      </c>
      <c r="W6" s="217" t="s">
        <v>297</v>
      </c>
      <c r="X6" s="119"/>
    </row>
    <row r="7" spans="1:28" x14ac:dyDescent="0.2">
      <c r="A7" s="34"/>
      <c r="L7" s="39"/>
      <c r="W7" s="39"/>
      <c r="AA7" s="138"/>
      <c r="AB7" s="138"/>
    </row>
    <row r="8" spans="1:28" x14ac:dyDescent="0.2">
      <c r="A8" s="35" t="s">
        <v>7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36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36"/>
      <c r="X8" s="120"/>
      <c r="AA8" s="138"/>
      <c r="AB8" s="138"/>
    </row>
    <row r="9" spans="1:28" x14ac:dyDescent="0.2">
      <c r="A9" s="34" t="s">
        <v>3</v>
      </c>
      <c r="B9" s="28">
        <v>1</v>
      </c>
      <c r="K9" s="28">
        <f t="shared" ref="K9:K15" si="0">SUM(B9:J9)</f>
        <v>1</v>
      </c>
      <c r="L9" s="412">
        <v>172600</v>
      </c>
      <c r="M9" s="28">
        <v>1</v>
      </c>
      <c r="V9" s="28">
        <f>SUM(M9:U9)</f>
        <v>1</v>
      </c>
      <c r="W9" s="412">
        <v>172600</v>
      </c>
      <c r="AA9" s="138"/>
      <c r="AB9" s="138"/>
    </row>
    <row r="10" spans="1:28" x14ac:dyDescent="0.2">
      <c r="A10" s="34" t="s">
        <v>521</v>
      </c>
      <c r="B10" s="28">
        <v>2</v>
      </c>
      <c r="K10" s="28">
        <f t="shared" si="0"/>
        <v>2</v>
      </c>
      <c r="L10" s="412">
        <v>193904.36</v>
      </c>
      <c r="M10" s="28">
        <v>2</v>
      </c>
      <c r="V10" s="28">
        <f t="shared" ref="V10:V34" si="1">SUM(M10:U10)</f>
        <v>2</v>
      </c>
      <c r="W10" s="412">
        <v>193904.36</v>
      </c>
      <c r="AA10" s="138"/>
      <c r="AB10" s="138"/>
    </row>
    <row r="11" spans="1:28" x14ac:dyDescent="0.2">
      <c r="A11" s="34" t="s">
        <v>522</v>
      </c>
      <c r="B11" s="28">
        <v>7</v>
      </c>
      <c r="F11" s="28">
        <v>1</v>
      </c>
      <c r="K11" s="28">
        <f t="shared" si="0"/>
        <v>8</v>
      </c>
      <c r="L11" s="412">
        <v>661387.12</v>
      </c>
      <c r="M11" s="28">
        <v>7</v>
      </c>
      <c r="Q11" s="28">
        <v>1</v>
      </c>
      <c r="V11" s="28">
        <f t="shared" si="1"/>
        <v>8</v>
      </c>
      <c r="W11" s="412">
        <v>661387.12</v>
      </c>
      <c r="AA11" s="138"/>
      <c r="AB11" s="138"/>
    </row>
    <row r="12" spans="1:28" x14ac:dyDescent="0.2">
      <c r="A12" s="34" t="s">
        <v>523</v>
      </c>
      <c r="B12" s="28">
        <v>3</v>
      </c>
      <c r="F12" s="28">
        <v>1</v>
      </c>
      <c r="K12" s="28">
        <f t="shared" si="0"/>
        <v>4</v>
      </c>
      <c r="L12" s="412">
        <v>298407.48</v>
      </c>
      <c r="M12" s="28">
        <v>3</v>
      </c>
      <c r="Q12" s="28">
        <v>1</v>
      </c>
      <c r="V12" s="28">
        <f t="shared" si="1"/>
        <v>4</v>
      </c>
      <c r="W12" s="412">
        <v>298407.48</v>
      </c>
      <c r="AA12" s="138"/>
      <c r="AB12" s="138"/>
    </row>
    <row r="13" spans="1:28" x14ac:dyDescent="0.2">
      <c r="A13" s="34" t="s">
        <v>524</v>
      </c>
      <c r="B13" s="28">
        <v>6</v>
      </c>
      <c r="K13" s="28">
        <f t="shared" si="0"/>
        <v>6</v>
      </c>
      <c r="L13" s="412">
        <v>413683.32</v>
      </c>
      <c r="M13" s="28">
        <v>6</v>
      </c>
      <c r="V13" s="28">
        <f t="shared" si="1"/>
        <v>6</v>
      </c>
      <c r="W13" s="412">
        <v>413683.32</v>
      </c>
      <c r="AA13" s="138"/>
      <c r="AB13" s="138"/>
    </row>
    <row r="14" spans="1:28" x14ac:dyDescent="0.2">
      <c r="A14" s="34" t="s">
        <v>525</v>
      </c>
      <c r="B14" s="28">
        <v>17</v>
      </c>
      <c r="F14" s="28">
        <v>3</v>
      </c>
      <c r="K14" s="28">
        <f t="shared" si="0"/>
        <v>20</v>
      </c>
      <c r="L14" s="412">
        <v>1469739.96</v>
      </c>
      <c r="M14" s="28">
        <v>18</v>
      </c>
      <c r="Q14" s="28">
        <v>3</v>
      </c>
      <c r="V14" s="28">
        <f t="shared" si="1"/>
        <v>21</v>
      </c>
      <c r="W14" s="412">
        <v>1469739.96</v>
      </c>
      <c r="AA14" s="138"/>
      <c r="AB14" s="138"/>
    </row>
    <row r="15" spans="1:28" x14ac:dyDescent="0.2">
      <c r="A15" s="34" t="s">
        <v>526</v>
      </c>
      <c r="B15" s="28">
        <v>6</v>
      </c>
      <c r="K15" s="28">
        <f t="shared" si="0"/>
        <v>6</v>
      </c>
      <c r="L15" s="412">
        <v>327549.96000000002</v>
      </c>
      <c r="M15" s="28">
        <v>6</v>
      </c>
      <c r="V15" s="28">
        <f t="shared" si="1"/>
        <v>6</v>
      </c>
      <c r="W15" s="412">
        <v>327549.96000000002</v>
      </c>
      <c r="AA15" s="138"/>
      <c r="AB15" s="138"/>
    </row>
    <row r="16" spans="1:28" x14ac:dyDescent="0.2">
      <c r="A16" s="35" t="s">
        <v>4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>
        <v>0</v>
      </c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>
        <v>0</v>
      </c>
      <c r="X16" s="120"/>
      <c r="AA16" s="138"/>
      <c r="AB16" s="138"/>
    </row>
    <row r="17" spans="1:28" x14ac:dyDescent="0.2">
      <c r="A17" s="34" t="s">
        <v>12</v>
      </c>
      <c r="B17" s="28">
        <v>14</v>
      </c>
      <c r="K17" s="28">
        <f>SUM(B17:J17)</f>
        <v>14</v>
      </c>
      <c r="L17" s="412">
        <v>921054.20000000007</v>
      </c>
      <c r="M17" s="28">
        <v>14</v>
      </c>
      <c r="V17" s="28">
        <f t="shared" si="1"/>
        <v>14</v>
      </c>
      <c r="W17" s="412">
        <v>921054.20000000007</v>
      </c>
      <c r="AA17" s="138"/>
      <c r="AB17" s="138"/>
    </row>
    <row r="18" spans="1:28" x14ac:dyDescent="0.2">
      <c r="A18" s="34" t="s">
        <v>527</v>
      </c>
      <c r="B18" s="28">
        <v>22</v>
      </c>
      <c r="K18" s="28">
        <f>SUM(B18:J18)</f>
        <v>22</v>
      </c>
      <c r="L18" s="412">
        <v>1079015.68</v>
      </c>
      <c r="M18" s="28">
        <f>22-3</f>
        <v>19</v>
      </c>
      <c r="V18" s="28">
        <f t="shared" si="1"/>
        <v>19</v>
      </c>
      <c r="W18" s="412">
        <v>1079015.68</v>
      </c>
      <c r="AA18" s="138"/>
      <c r="AB18" s="138"/>
    </row>
    <row r="19" spans="1:28" x14ac:dyDescent="0.2">
      <c r="A19" s="34" t="s">
        <v>528</v>
      </c>
      <c r="B19" s="28">
        <v>3</v>
      </c>
      <c r="K19" s="28">
        <f>SUM(B19:J19)</f>
        <v>3</v>
      </c>
      <c r="L19" s="412">
        <v>194571.48</v>
      </c>
      <c r="M19" s="28">
        <v>3</v>
      </c>
      <c r="V19" s="28">
        <f t="shared" si="1"/>
        <v>3</v>
      </c>
      <c r="W19" s="412">
        <v>194571.48</v>
      </c>
      <c r="AA19" s="138"/>
      <c r="AB19" s="138"/>
    </row>
    <row r="20" spans="1:28" x14ac:dyDescent="0.2">
      <c r="A20" s="34" t="s">
        <v>529</v>
      </c>
      <c r="B20" s="28">
        <v>1</v>
      </c>
      <c r="K20" s="28">
        <f>SUM(B20:J20)</f>
        <v>1</v>
      </c>
      <c r="L20" s="412">
        <v>51129.88</v>
      </c>
      <c r="M20" s="28">
        <v>7</v>
      </c>
      <c r="V20" s="28">
        <f t="shared" si="1"/>
        <v>7</v>
      </c>
      <c r="W20" s="412">
        <v>351129.88</v>
      </c>
      <c r="AA20" s="138"/>
      <c r="AB20" s="138"/>
    </row>
    <row r="21" spans="1:28" x14ac:dyDescent="0.2">
      <c r="A21" s="35" t="s">
        <v>5</v>
      </c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>
        <v>0</v>
      </c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>
        <v>0</v>
      </c>
      <c r="X21" s="120"/>
      <c r="AA21" s="138"/>
      <c r="AB21" s="138"/>
    </row>
    <row r="22" spans="1:28" x14ac:dyDescent="0.2">
      <c r="A22" s="34" t="s">
        <v>13</v>
      </c>
      <c r="B22" s="28">
        <v>20</v>
      </c>
      <c r="K22" s="28">
        <f>SUM(B22:J22)</f>
        <v>20</v>
      </c>
      <c r="L22" s="412">
        <v>901630.76</v>
      </c>
      <c r="M22" s="28">
        <v>20</v>
      </c>
      <c r="V22" s="28">
        <f t="shared" si="1"/>
        <v>20</v>
      </c>
      <c r="W22" s="412">
        <v>901630.76</v>
      </c>
      <c r="AA22" s="138"/>
      <c r="AB22" s="138"/>
    </row>
    <row r="23" spans="1:28" x14ac:dyDescent="0.2">
      <c r="A23" s="34" t="s">
        <v>530</v>
      </c>
      <c r="B23" s="28">
        <v>28</v>
      </c>
      <c r="K23" s="28">
        <f>SUM(B23:J23)</f>
        <v>28</v>
      </c>
      <c r="L23" s="412">
        <v>1328958.3999999999</v>
      </c>
      <c r="M23" s="28">
        <v>28</v>
      </c>
      <c r="V23" s="28">
        <f t="shared" si="1"/>
        <v>28</v>
      </c>
      <c r="W23" s="412">
        <v>1328958.3999999999</v>
      </c>
      <c r="AA23" s="138"/>
      <c r="AB23" s="138"/>
    </row>
    <row r="24" spans="1:28" x14ac:dyDescent="0.2">
      <c r="A24" s="34" t="s">
        <v>531</v>
      </c>
      <c r="B24" s="28">
        <v>6</v>
      </c>
      <c r="K24" s="28">
        <f>SUM(B24:J24)</f>
        <v>6</v>
      </c>
      <c r="L24" s="412">
        <v>292188.36</v>
      </c>
      <c r="M24" s="28">
        <v>6</v>
      </c>
      <c r="V24" s="28">
        <f t="shared" si="1"/>
        <v>6</v>
      </c>
      <c r="W24" s="412">
        <v>292188.36</v>
      </c>
      <c r="AA24" s="138"/>
      <c r="AB24" s="138"/>
    </row>
    <row r="25" spans="1:28" x14ac:dyDescent="0.2">
      <c r="A25" s="34" t="s">
        <v>14</v>
      </c>
      <c r="B25" s="28">
        <v>1</v>
      </c>
      <c r="K25" s="28">
        <f>SUM(B25:J25)</f>
        <v>1</v>
      </c>
      <c r="L25" s="412">
        <v>77569.959999999992</v>
      </c>
      <c r="M25" s="28">
        <v>1</v>
      </c>
      <c r="V25" s="28">
        <f t="shared" si="1"/>
        <v>1</v>
      </c>
      <c r="W25" s="412">
        <v>77569.959999999992</v>
      </c>
      <c r="AA25" s="138"/>
      <c r="AB25" s="138"/>
    </row>
    <row r="26" spans="1:28" x14ac:dyDescent="0.2">
      <c r="A26" s="34" t="s">
        <v>532</v>
      </c>
      <c r="B26" s="28">
        <v>4</v>
      </c>
      <c r="K26" s="28">
        <f>SUM(B26:J26)</f>
        <v>4</v>
      </c>
      <c r="L26" s="412">
        <v>93518.2</v>
      </c>
      <c r="M26" s="28">
        <f>4+9</f>
        <v>13</v>
      </c>
      <c r="V26" s="28">
        <f t="shared" si="1"/>
        <v>13</v>
      </c>
      <c r="W26" s="412">
        <v>393518.2</v>
      </c>
      <c r="X26" s="120"/>
      <c r="AA26" s="138"/>
      <c r="AB26" s="138"/>
    </row>
    <row r="27" spans="1:28" x14ac:dyDescent="0.2">
      <c r="A27" s="35" t="s">
        <v>6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>
        <v>0</v>
      </c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3"/>
      <c r="AA27" s="138"/>
      <c r="AB27" s="138"/>
    </row>
    <row r="28" spans="1:28" x14ac:dyDescent="0.2">
      <c r="A28" s="34" t="s">
        <v>15</v>
      </c>
      <c r="B28" s="28">
        <v>5</v>
      </c>
      <c r="K28" s="28">
        <f>SUM(B28:J28)</f>
        <v>5</v>
      </c>
      <c r="L28" s="414">
        <v>270519.08</v>
      </c>
      <c r="M28" s="28">
        <v>12</v>
      </c>
      <c r="V28" s="28">
        <f t="shared" si="1"/>
        <v>12</v>
      </c>
      <c r="W28" s="412">
        <v>330519.08</v>
      </c>
      <c r="AA28" s="138"/>
      <c r="AB28" s="138"/>
    </row>
    <row r="29" spans="1:28" x14ac:dyDescent="0.2">
      <c r="A29" s="35" t="s">
        <v>165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3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3"/>
      <c r="AA29" s="138"/>
      <c r="AB29" s="138"/>
    </row>
    <row r="30" spans="1:28" x14ac:dyDescent="0.2">
      <c r="A30" s="34"/>
      <c r="J30" s="28">
        <v>19</v>
      </c>
      <c r="K30" s="28">
        <f>SUM(B30:J30)</f>
        <v>19</v>
      </c>
      <c r="L30" s="414">
        <v>978120</v>
      </c>
      <c r="U30" s="28">
        <v>19</v>
      </c>
      <c r="V30" s="28">
        <f t="shared" si="1"/>
        <v>19</v>
      </c>
      <c r="W30" s="412">
        <v>978120</v>
      </c>
      <c r="AA30" s="138"/>
      <c r="AB30" s="138"/>
    </row>
    <row r="31" spans="1:28" x14ac:dyDescent="0.2">
      <c r="A31" s="35" t="s">
        <v>533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120"/>
      <c r="AA31" s="138"/>
      <c r="AB31" s="138"/>
    </row>
    <row r="32" spans="1:28" ht="12" x14ac:dyDescent="0.2">
      <c r="A32" s="34"/>
      <c r="I32" s="28">
        <v>58</v>
      </c>
      <c r="K32" s="28">
        <f>SUM(B32:J32)</f>
        <v>58</v>
      </c>
      <c r="L32" s="414">
        <v>189580.5</v>
      </c>
      <c r="T32" s="28">
        <v>68</v>
      </c>
      <c r="V32" s="28">
        <f t="shared" si="1"/>
        <v>68</v>
      </c>
      <c r="W32" s="412">
        <v>379161</v>
      </c>
      <c r="X32" s="138"/>
      <c r="Y32" s="138"/>
      <c r="Z32" s="138"/>
      <c r="AA32" s="138"/>
      <c r="AB32" s="138"/>
    </row>
    <row r="33" spans="1:28" ht="12" x14ac:dyDescent="0.2">
      <c r="A33" s="35" t="s">
        <v>83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138"/>
      <c r="Y33" s="138"/>
      <c r="Z33" s="138"/>
      <c r="AA33" s="138"/>
      <c r="AB33" s="138"/>
    </row>
    <row r="34" spans="1:28" ht="12" x14ac:dyDescent="0.2">
      <c r="A34" s="34"/>
      <c r="D34" s="28">
        <v>274</v>
      </c>
      <c r="K34" s="28">
        <f>SUM(B34:J34)</f>
        <v>274</v>
      </c>
      <c r="L34" s="414">
        <f>7465260+164400</f>
        <v>7629660</v>
      </c>
      <c r="O34" s="28">
        <v>303</v>
      </c>
      <c r="V34" s="28">
        <f t="shared" si="1"/>
        <v>303</v>
      </c>
      <c r="W34" s="412">
        <f>8860667.16+181800</f>
        <v>9042467.1600000001</v>
      </c>
      <c r="X34" s="138"/>
      <c r="Y34" s="138"/>
      <c r="Z34" s="138"/>
      <c r="AA34" s="138"/>
      <c r="AB34" s="138"/>
    </row>
    <row r="35" spans="1:28" x14ac:dyDescent="0.2">
      <c r="A35" s="35" t="s">
        <v>534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</row>
  </sheetData>
  <mergeCells count="2">
    <mergeCell ref="B5:L5"/>
    <mergeCell ref="M5:W5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2">
    <tabColor theme="9" tint="-0.249977111117893"/>
    <pageSetUpPr fitToPage="1"/>
  </sheetPr>
  <dimension ref="A1:V26"/>
  <sheetViews>
    <sheetView zoomScaleNormal="100" zoomScaleSheetLayoutView="100" zoomScalePageLayoutView="90" workbookViewId="0">
      <selection activeCell="F8" sqref="F8"/>
    </sheetView>
  </sheetViews>
  <sheetFormatPr baseColWidth="10" defaultColWidth="11.42578125" defaultRowHeight="12" x14ac:dyDescent="0.2"/>
  <cols>
    <col min="1" max="1" width="62" style="3" customWidth="1"/>
    <col min="2" max="9" width="14.7109375" style="3" customWidth="1"/>
    <col min="10" max="16384" width="11.42578125" style="3"/>
  </cols>
  <sheetData>
    <row r="1" spans="1:22" s="141" customFormat="1" ht="15.75" x14ac:dyDescent="0.25">
      <c r="A1" s="115"/>
      <c r="B1" s="146"/>
      <c r="C1" s="145"/>
      <c r="D1" s="145"/>
      <c r="E1" s="145"/>
      <c r="F1" s="145"/>
      <c r="H1" s="142"/>
      <c r="I1" s="142"/>
    </row>
    <row r="2" spans="1:22" s="143" customFormat="1" ht="15.75" x14ac:dyDescent="0.2">
      <c r="A2" s="139" t="s">
        <v>536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2" s="93" customFormat="1" ht="12.75" thickBot="1" x14ac:dyDescent="0.25">
      <c r="A3" s="8"/>
      <c r="B3" s="10"/>
      <c r="E3" s="10"/>
    </row>
    <row r="4" spans="1:22" ht="12.75" thickBot="1" x14ac:dyDescent="0.25">
      <c r="A4" s="377" t="s">
        <v>10</v>
      </c>
      <c r="B4" s="566" t="s">
        <v>345</v>
      </c>
      <c r="C4" s="566"/>
      <c r="D4" s="567" t="s">
        <v>423</v>
      </c>
      <c r="E4" s="569"/>
      <c r="F4" s="567" t="s">
        <v>424</v>
      </c>
      <c r="G4" s="568"/>
      <c r="H4" s="567" t="s">
        <v>344</v>
      </c>
      <c r="I4" s="568"/>
    </row>
    <row r="5" spans="1:22" s="79" customFormat="1" ht="24" customHeight="1" x14ac:dyDescent="0.2">
      <c r="A5" s="218" t="s">
        <v>9</v>
      </c>
      <c r="B5" s="219" t="s">
        <v>135</v>
      </c>
      <c r="C5" s="220" t="s">
        <v>21</v>
      </c>
      <c r="D5" s="218" t="s">
        <v>135</v>
      </c>
      <c r="E5" s="376" t="s">
        <v>21</v>
      </c>
      <c r="F5" s="218" t="s">
        <v>135</v>
      </c>
      <c r="G5" s="376" t="s">
        <v>21</v>
      </c>
      <c r="H5" s="218" t="s">
        <v>135</v>
      </c>
      <c r="I5" s="376" t="s">
        <v>21</v>
      </c>
    </row>
    <row r="6" spans="1:22" x14ac:dyDescent="0.2">
      <c r="A6" s="434" t="s">
        <v>132</v>
      </c>
      <c r="B6" s="435">
        <v>154</v>
      </c>
      <c r="C6" s="394">
        <v>1302917.2</v>
      </c>
      <c r="D6" s="436">
        <v>151</v>
      </c>
      <c r="E6" s="394">
        <f>131421.31*12</f>
        <v>1577055.72</v>
      </c>
      <c r="F6" s="437">
        <v>151.22</v>
      </c>
      <c r="G6" s="381">
        <f>1559197.44-146000</f>
        <v>1413197.44</v>
      </c>
      <c r="H6" s="436">
        <f>+B6-D6</f>
        <v>3</v>
      </c>
      <c r="I6" s="394">
        <f>+C6-E6</f>
        <v>-274138.52</v>
      </c>
    </row>
    <row r="7" spans="1:22" x14ac:dyDescent="0.2">
      <c r="A7" s="434" t="s">
        <v>164</v>
      </c>
      <c r="B7" s="435"/>
      <c r="C7" s="438"/>
      <c r="D7" s="436"/>
      <c r="E7" s="439"/>
      <c r="F7" s="436"/>
      <c r="G7" s="381"/>
      <c r="H7" s="436"/>
      <c r="I7" s="439"/>
    </row>
    <row r="8" spans="1:22" x14ac:dyDescent="0.2">
      <c r="A8" s="434" t="s">
        <v>162</v>
      </c>
      <c r="B8" s="435"/>
      <c r="C8" s="438"/>
      <c r="D8" s="436"/>
      <c r="E8" s="439"/>
      <c r="F8" s="436"/>
      <c r="G8" s="381"/>
      <c r="H8" s="436"/>
      <c r="I8" s="439"/>
    </row>
    <row r="9" spans="1:22" s="99" customFormat="1" x14ac:dyDescent="0.2">
      <c r="A9" s="440" t="s">
        <v>171</v>
      </c>
      <c r="B9" s="435"/>
      <c r="C9" s="438"/>
      <c r="D9" s="436"/>
      <c r="E9" s="381"/>
      <c r="F9" s="436"/>
      <c r="G9" s="381"/>
      <c r="H9" s="436"/>
      <c r="I9" s="439"/>
    </row>
    <row r="10" spans="1:22" s="99" customFormat="1" x14ac:dyDescent="0.2">
      <c r="A10" s="434" t="s">
        <v>165</v>
      </c>
      <c r="B10" s="435">
        <v>19</v>
      </c>
      <c r="C10" s="381">
        <v>978120</v>
      </c>
      <c r="D10" s="435">
        <v>19</v>
      </c>
      <c r="E10" s="381">
        <f>81510*12</f>
        <v>978120</v>
      </c>
      <c r="F10" s="436">
        <v>19</v>
      </c>
      <c r="G10" s="381">
        <f>81510*12</f>
        <v>978120</v>
      </c>
      <c r="H10" s="436">
        <f>+B10-D10</f>
        <v>0</v>
      </c>
      <c r="I10" s="394">
        <f>+C10-E10</f>
        <v>0</v>
      </c>
    </row>
    <row r="11" spans="1:22" s="99" customFormat="1" x14ac:dyDescent="0.2">
      <c r="A11" s="440" t="s">
        <v>163</v>
      </c>
      <c r="B11" s="435">
        <v>452</v>
      </c>
      <c r="C11" s="381">
        <v>332000</v>
      </c>
      <c r="D11" s="435">
        <f>146+274</f>
        <v>420</v>
      </c>
      <c r="E11" s="381">
        <f>146000+164400</f>
        <v>310400</v>
      </c>
      <c r="F11" s="436">
        <f>146+303</f>
        <v>449</v>
      </c>
      <c r="G11" s="381">
        <v>327800</v>
      </c>
      <c r="H11" s="436">
        <f>+B11-D11</f>
        <v>32</v>
      </c>
      <c r="I11" s="394">
        <f>+C11-E11</f>
        <v>21600</v>
      </c>
    </row>
    <row r="12" spans="1:22" s="99" customFormat="1" x14ac:dyDescent="0.2">
      <c r="A12" s="434" t="s">
        <v>170</v>
      </c>
      <c r="B12" s="435"/>
      <c r="C12" s="381"/>
      <c r="D12" s="435"/>
      <c r="E12" s="381"/>
      <c r="F12" s="436"/>
      <c r="G12" s="381"/>
      <c r="H12" s="436"/>
      <c r="I12" s="441"/>
    </row>
    <row r="13" spans="1:22" s="99" customFormat="1" x14ac:dyDescent="0.2">
      <c r="A13" s="434" t="s">
        <v>23</v>
      </c>
      <c r="B13" s="435"/>
      <c r="C13" s="381"/>
      <c r="D13" s="435"/>
      <c r="E13" s="381"/>
      <c r="F13" s="436"/>
      <c r="G13" s="381"/>
      <c r="H13" s="436"/>
      <c r="I13" s="441"/>
    </row>
    <row r="14" spans="1:22" s="99" customFormat="1" x14ac:dyDescent="0.2">
      <c r="A14" s="434" t="s">
        <v>167</v>
      </c>
      <c r="B14" s="435"/>
      <c r="C14" s="381"/>
      <c r="D14" s="435"/>
      <c r="E14" s="381"/>
      <c r="F14" s="436"/>
      <c r="G14" s="381"/>
      <c r="H14" s="436"/>
      <c r="I14" s="441"/>
    </row>
    <row r="15" spans="1:22" s="99" customFormat="1" x14ac:dyDescent="0.2">
      <c r="A15" s="434" t="s">
        <v>22</v>
      </c>
      <c r="B15" s="435">
        <f>154+300</f>
        <v>454</v>
      </c>
      <c r="C15" s="381">
        <f>172164.48+401345.04</f>
        <v>573509.52</v>
      </c>
      <c r="D15" s="435">
        <f>151+274</f>
        <v>425</v>
      </c>
      <c r="E15" s="381">
        <f>168038.4+509247</f>
        <v>677285.4</v>
      </c>
      <c r="F15" s="436">
        <f>151+303</f>
        <v>454</v>
      </c>
      <c r="G15" s="381">
        <v>725717</v>
      </c>
      <c r="H15" s="436">
        <f>+B15-D15</f>
        <v>29</v>
      </c>
      <c r="I15" s="394">
        <f>+C15-E15</f>
        <v>-103775.88</v>
      </c>
    </row>
    <row r="16" spans="1:22" s="99" customFormat="1" x14ac:dyDescent="0.2">
      <c r="A16" s="434" t="s">
        <v>168</v>
      </c>
      <c r="B16" s="435"/>
      <c r="C16" s="381"/>
      <c r="D16" s="435"/>
      <c r="E16" s="381"/>
      <c r="F16" s="436"/>
      <c r="G16" s="381"/>
      <c r="H16" s="436"/>
      <c r="I16" s="441"/>
    </row>
    <row r="17" spans="1:9" s="99" customFormat="1" x14ac:dyDescent="0.2">
      <c r="A17" s="434" t="s">
        <v>166</v>
      </c>
      <c r="B17" s="435"/>
      <c r="C17" s="381"/>
      <c r="D17" s="435"/>
      <c r="E17" s="381"/>
      <c r="F17" s="436"/>
      <c r="G17" s="381"/>
      <c r="H17" s="436"/>
      <c r="I17" s="441"/>
    </row>
    <row r="18" spans="1:9" s="99" customFormat="1" x14ac:dyDescent="0.2">
      <c r="A18" s="434" t="s">
        <v>169</v>
      </c>
      <c r="B18" s="435"/>
      <c r="C18" s="381"/>
      <c r="D18" s="435"/>
      <c r="E18" s="381"/>
      <c r="F18" s="436"/>
      <c r="G18" s="381"/>
      <c r="H18" s="436"/>
      <c r="I18" s="441"/>
    </row>
    <row r="19" spans="1:9" s="99" customFormat="1" x14ac:dyDescent="0.2">
      <c r="A19" s="434" t="s">
        <v>24</v>
      </c>
      <c r="B19" s="435">
        <v>150</v>
      </c>
      <c r="C19" s="381">
        <v>7174372.96</v>
      </c>
      <c r="D19" s="435">
        <v>150</v>
      </c>
      <c r="E19" s="381">
        <v>7023372.4799999986</v>
      </c>
      <c r="F19" s="436">
        <v>171</v>
      </c>
      <c r="G19" s="381">
        <v>7848230.7599999998</v>
      </c>
      <c r="H19" s="436">
        <f>+B19-D19</f>
        <v>0</v>
      </c>
      <c r="I19" s="394">
        <f>+C19-E19</f>
        <v>151000.48000000138</v>
      </c>
    </row>
    <row r="20" spans="1:9" s="99" customFormat="1" x14ac:dyDescent="0.2">
      <c r="A20" s="434" t="s">
        <v>161</v>
      </c>
      <c r="B20" s="435"/>
      <c r="C20" s="381"/>
      <c r="D20" s="435"/>
      <c r="E20" s="381"/>
      <c r="F20" s="436"/>
      <c r="G20" s="381"/>
      <c r="H20" s="436"/>
      <c r="I20" s="441"/>
    </row>
    <row r="21" spans="1:9" x14ac:dyDescent="0.2">
      <c r="A21" s="434" t="s">
        <v>83</v>
      </c>
      <c r="B21" s="435">
        <v>300</v>
      </c>
      <c r="C21" s="394">
        <v>7354372.96</v>
      </c>
      <c r="D21" s="435">
        <v>274</v>
      </c>
      <c r="E21" s="381">
        <v>7465260</v>
      </c>
      <c r="F21" s="436">
        <v>303</v>
      </c>
      <c r="G21" s="381">
        <f>7990667.16+870000</f>
        <v>8860667.1600000001</v>
      </c>
      <c r="H21" s="436">
        <f>+B21-D21</f>
        <v>26</v>
      </c>
      <c r="I21" s="394">
        <f>+C21-E21</f>
        <v>-110887.04000000004</v>
      </c>
    </row>
    <row r="22" spans="1:9" ht="12.75" thickBot="1" x14ac:dyDescent="0.25">
      <c r="A22" s="434" t="s">
        <v>533</v>
      </c>
      <c r="B22" s="435">
        <v>68</v>
      </c>
      <c r="C22" s="394">
        <f>32457+4080*12</f>
        <v>81417</v>
      </c>
      <c r="D22" s="436">
        <v>58</v>
      </c>
      <c r="E22" s="381">
        <f>31596.75*6</f>
        <v>189580.5</v>
      </c>
      <c r="F22" s="436">
        <v>68</v>
      </c>
      <c r="G22" s="381">
        <f>31596.75*12</f>
        <v>379161</v>
      </c>
      <c r="H22" s="436">
        <f>+B22-D22</f>
        <v>10</v>
      </c>
      <c r="I22" s="394">
        <f>+C22-E22</f>
        <v>-108163.5</v>
      </c>
    </row>
    <row r="23" spans="1:9" ht="12.75" thickBot="1" x14ac:dyDescent="0.25">
      <c r="A23" s="41" t="s">
        <v>39</v>
      </c>
      <c r="B23" s="442"/>
      <c r="C23" s="442">
        <f>SUM(C6:C22)</f>
        <v>17796709.640000001</v>
      </c>
      <c r="D23" s="442">
        <f>SUM(D6:D22)</f>
        <v>1497</v>
      </c>
      <c r="E23" s="442">
        <f>SUM(E6:E22)</f>
        <v>18221074.099999998</v>
      </c>
      <c r="F23" s="42"/>
      <c r="G23" s="442">
        <f>SUM(G6:G22)</f>
        <v>20532893.359999999</v>
      </c>
      <c r="H23" s="442"/>
      <c r="I23" s="442">
        <f>SUM(I6:I22)</f>
        <v>-424364.45999999868</v>
      </c>
    </row>
    <row r="24" spans="1:9" x14ac:dyDescent="0.2">
      <c r="A24" s="1" t="s">
        <v>346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1" t="s">
        <v>78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1"/>
    </row>
  </sheetData>
  <sortState xmlns:xlrd2="http://schemas.microsoft.com/office/spreadsheetml/2017/richdata2" ref="A9:A24">
    <sortCondition ref="A9:A24"/>
  </sortState>
  <mergeCells count="4">
    <mergeCell ref="B4:C4"/>
    <mergeCell ref="F4:G4"/>
    <mergeCell ref="H4:I4"/>
    <mergeCell ref="D4:E4"/>
  </mergeCells>
  <phoneticPr fontId="0" type="noConversion"/>
  <printOptions horizontalCentered="1"/>
  <pageMargins left="0.25" right="0.25" top="0.75" bottom="0.75" header="0.3" footer="0.3"/>
  <pageSetup paperSize="9" scale="81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3">
    <tabColor theme="9" tint="-0.249977111117893"/>
    <pageSetUpPr fitToPage="1"/>
  </sheetPr>
  <dimension ref="A1:AI70"/>
  <sheetViews>
    <sheetView zoomScaleNormal="100" zoomScaleSheetLayoutView="80" zoomScalePageLayoutView="85" workbookViewId="0">
      <selection activeCell="A9" sqref="A9"/>
    </sheetView>
  </sheetViews>
  <sheetFormatPr baseColWidth="10" defaultColWidth="11.42578125" defaultRowHeight="12" x14ac:dyDescent="0.2"/>
  <cols>
    <col min="1" max="1" width="43.7109375" style="3" customWidth="1"/>
    <col min="2" max="2" width="8.7109375" style="3" customWidth="1"/>
    <col min="3" max="3" width="9.7109375" style="93" bestFit="1" customWidth="1"/>
    <col min="4" max="4" width="9.85546875" style="3" bestFit="1" customWidth="1"/>
    <col min="5" max="5" width="8.7109375" style="3" customWidth="1"/>
    <col min="6" max="9" width="8.7109375" style="99" customWidth="1"/>
    <col min="10" max="10" width="8.7109375" style="3" customWidth="1"/>
    <col min="11" max="11" width="9.85546875" style="3" bestFit="1" customWidth="1"/>
    <col min="12" max="12" width="9.85546875" style="93" bestFit="1" customWidth="1"/>
    <col min="13" max="13" width="8.28515625" style="3" bestFit="1" customWidth="1"/>
    <col min="14" max="15" width="8.7109375" style="3" customWidth="1"/>
    <col min="16" max="16" width="12.5703125" style="93" bestFit="1" customWidth="1"/>
    <col min="17" max="18" width="8.7109375" style="3" customWidth="1"/>
    <col min="19" max="19" width="9.85546875" style="3" bestFit="1" customWidth="1"/>
    <col min="20" max="20" width="8.7109375" style="3" customWidth="1"/>
    <col min="21" max="24" width="8.7109375" style="99" customWidth="1"/>
    <col min="25" max="25" width="8.7109375" style="3" customWidth="1"/>
    <col min="26" max="26" width="9.85546875" style="3" bestFit="1" customWidth="1"/>
    <col min="27" max="27" width="9.85546875" style="93" bestFit="1" customWidth="1"/>
    <col min="28" max="30" width="8.7109375" style="3" customWidth="1"/>
    <col min="31" max="31" width="12.28515625" style="93" bestFit="1" customWidth="1"/>
    <col min="32" max="32" width="8.7109375" style="138" customWidth="1"/>
    <col min="33" max="33" width="11" style="138" bestFit="1" customWidth="1"/>
    <col min="34" max="34" width="8.7109375" style="93" customWidth="1"/>
    <col min="35" max="35" width="12.7109375" style="93" bestFit="1" customWidth="1"/>
    <col min="36" max="16384" width="11.42578125" style="3"/>
  </cols>
  <sheetData>
    <row r="1" spans="1:35" s="126" customFormat="1" x14ac:dyDescent="0.2">
      <c r="A1" s="123" t="s">
        <v>441</v>
      </c>
    </row>
    <row r="2" spans="1:35" s="126" customFormat="1" x14ac:dyDescent="0.2">
      <c r="A2" s="124" t="s">
        <v>341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</row>
    <row r="3" spans="1:35" s="123" customFormat="1" ht="12.75" thickBot="1" x14ac:dyDescent="0.25">
      <c r="A3" s="123" t="s">
        <v>347</v>
      </c>
      <c r="T3" s="125"/>
    </row>
    <row r="4" spans="1:35" ht="30.75" customHeight="1" thickBot="1" x14ac:dyDescent="0.25">
      <c r="A4" s="561" t="s">
        <v>43</v>
      </c>
      <c r="B4" s="574" t="s">
        <v>348</v>
      </c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5" t="s">
        <v>442</v>
      </c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6"/>
      <c r="AF4" s="570" t="s">
        <v>444</v>
      </c>
      <c r="AG4" s="571"/>
      <c r="AH4" s="570" t="s">
        <v>443</v>
      </c>
      <c r="AI4" s="571"/>
    </row>
    <row r="5" spans="1:35" ht="172.5" customHeight="1" x14ac:dyDescent="0.2">
      <c r="A5" s="572"/>
      <c r="B5" s="221" t="s">
        <v>11</v>
      </c>
      <c r="C5" s="222" t="s">
        <v>136</v>
      </c>
      <c r="D5" s="223" t="s">
        <v>259</v>
      </c>
      <c r="E5" s="223" t="s">
        <v>138</v>
      </c>
      <c r="F5" s="223" t="s">
        <v>173</v>
      </c>
      <c r="G5" s="223" t="s">
        <v>174</v>
      </c>
      <c r="H5" s="223" t="s">
        <v>175</v>
      </c>
      <c r="I5" s="223" t="s">
        <v>176</v>
      </c>
      <c r="J5" s="223" t="s">
        <v>139</v>
      </c>
      <c r="K5" s="223" t="s">
        <v>140</v>
      </c>
      <c r="L5" s="223" t="s">
        <v>141</v>
      </c>
      <c r="M5" s="223" t="s">
        <v>172</v>
      </c>
      <c r="N5" s="224" t="s">
        <v>108</v>
      </c>
      <c r="O5" s="225" t="s">
        <v>146</v>
      </c>
      <c r="P5" s="226" t="s">
        <v>145</v>
      </c>
      <c r="Q5" s="221" t="s">
        <v>11</v>
      </c>
      <c r="R5" s="222" t="s">
        <v>136</v>
      </c>
      <c r="S5" s="223" t="s">
        <v>137</v>
      </c>
      <c r="T5" s="223" t="s">
        <v>138</v>
      </c>
      <c r="U5" s="223" t="s">
        <v>173</v>
      </c>
      <c r="V5" s="223" t="s">
        <v>174</v>
      </c>
      <c r="W5" s="223" t="s">
        <v>175</v>
      </c>
      <c r="X5" s="223" t="s">
        <v>176</v>
      </c>
      <c r="Y5" s="223" t="s">
        <v>139</v>
      </c>
      <c r="Z5" s="223" t="s">
        <v>140</v>
      </c>
      <c r="AA5" s="223" t="s">
        <v>141</v>
      </c>
      <c r="AB5" s="223" t="s">
        <v>172</v>
      </c>
      <c r="AC5" s="224" t="s">
        <v>108</v>
      </c>
      <c r="AD5" s="225" t="s">
        <v>146</v>
      </c>
      <c r="AE5" s="226" t="s">
        <v>537</v>
      </c>
      <c r="AF5" s="227" t="s">
        <v>150</v>
      </c>
      <c r="AG5" s="227" t="s">
        <v>149</v>
      </c>
      <c r="AH5" s="227" t="s">
        <v>11</v>
      </c>
      <c r="AI5" s="226" t="s">
        <v>349</v>
      </c>
    </row>
    <row r="6" spans="1:35" ht="15.75" customHeight="1" thickBot="1" x14ac:dyDescent="0.25">
      <c r="A6" s="573"/>
      <c r="B6" s="228" t="s">
        <v>44</v>
      </c>
      <c r="C6" s="229" t="s">
        <v>45</v>
      </c>
      <c r="D6" s="230" t="s">
        <v>46</v>
      </c>
      <c r="E6" s="230" t="s">
        <v>47</v>
      </c>
      <c r="F6" s="231" t="s">
        <v>48</v>
      </c>
      <c r="G6" s="231" t="s">
        <v>49</v>
      </c>
      <c r="H6" s="231" t="s">
        <v>64</v>
      </c>
      <c r="I6" s="231" t="s">
        <v>107</v>
      </c>
      <c r="J6" s="231" t="s">
        <v>144</v>
      </c>
      <c r="K6" s="231" t="s">
        <v>148</v>
      </c>
      <c r="L6" s="231" t="s">
        <v>181</v>
      </c>
      <c r="M6" s="231" t="s">
        <v>182</v>
      </c>
      <c r="N6" s="232" t="s">
        <v>184</v>
      </c>
      <c r="O6" s="233" t="s">
        <v>185</v>
      </c>
      <c r="P6" s="234" t="s">
        <v>186</v>
      </c>
      <c r="Q6" s="228" t="s">
        <v>44</v>
      </c>
      <c r="R6" s="229" t="s">
        <v>45</v>
      </c>
      <c r="S6" s="230" t="s">
        <v>46</v>
      </c>
      <c r="T6" s="230" t="s">
        <v>47</v>
      </c>
      <c r="U6" s="231" t="s">
        <v>48</v>
      </c>
      <c r="V6" s="231" t="s">
        <v>49</v>
      </c>
      <c r="W6" s="231" t="s">
        <v>64</v>
      </c>
      <c r="X6" s="231" t="s">
        <v>107</v>
      </c>
      <c r="Y6" s="231" t="s">
        <v>144</v>
      </c>
      <c r="Z6" s="231" t="s">
        <v>148</v>
      </c>
      <c r="AA6" s="231" t="s">
        <v>181</v>
      </c>
      <c r="AB6" s="231" t="s">
        <v>182</v>
      </c>
      <c r="AC6" s="232" t="s">
        <v>184</v>
      </c>
      <c r="AD6" s="233" t="s">
        <v>185</v>
      </c>
      <c r="AE6" s="234" t="s">
        <v>186</v>
      </c>
      <c r="AF6" s="235"/>
      <c r="AG6" s="228"/>
      <c r="AH6" s="235"/>
      <c r="AI6" s="228"/>
    </row>
    <row r="7" spans="1:35" x14ac:dyDescent="0.2">
      <c r="A7" s="56"/>
      <c r="B7" s="41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8"/>
      <c r="O7" s="62"/>
      <c r="P7" s="14"/>
      <c r="Q7" s="4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38"/>
      <c r="AD7" s="62"/>
      <c r="AE7" s="14"/>
      <c r="AF7" s="14"/>
      <c r="AG7" s="13"/>
      <c r="AH7" s="416"/>
      <c r="AI7" s="13"/>
    </row>
    <row r="8" spans="1:35" x14ac:dyDescent="0.2">
      <c r="A8" s="13" t="s">
        <v>50</v>
      </c>
      <c r="B8" s="41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8"/>
      <c r="O8" s="62"/>
      <c r="P8" s="14"/>
      <c r="Q8" s="4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38"/>
      <c r="AD8" s="62"/>
      <c r="AE8" s="14"/>
      <c r="AF8" s="14"/>
      <c r="AG8" s="13"/>
      <c r="AH8" s="416"/>
      <c r="AI8" s="13"/>
    </row>
    <row r="9" spans="1:35" x14ac:dyDescent="0.2">
      <c r="A9" s="417" t="s">
        <v>7</v>
      </c>
      <c r="B9" s="41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38"/>
      <c r="O9" s="62"/>
      <c r="P9" s="14"/>
      <c r="Q9" s="4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38"/>
      <c r="AD9" s="62"/>
      <c r="AE9" s="414"/>
      <c r="AF9" s="414"/>
      <c r="AG9" s="414"/>
      <c r="AH9" s="416"/>
      <c r="AI9" s="13"/>
    </row>
    <row r="10" spans="1:35" x14ac:dyDescent="0.2">
      <c r="A10" s="418" t="s">
        <v>3</v>
      </c>
      <c r="B10" s="418">
        <v>1</v>
      </c>
      <c r="C10" s="419">
        <v>14300</v>
      </c>
      <c r="D10" s="420"/>
      <c r="E10" s="420"/>
      <c r="F10" s="420"/>
      <c r="G10" s="420"/>
      <c r="H10" s="420"/>
      <c r="I10" s="420"/>
      <c r="J10" s="420"/>
      <c r="K10" s="420">
        <f>+D10+C10</f>
        <v>14300</v>
      </c>
      <c r="L10" s="420">
        <f>1000*B10</f>
        <v>1000</v>
      </c>
      <c r="M10" s="420"/>
      <c r="N10" s="394"/>
      <c r="O10" s="421"/>
      <c r="P10" s="414">
        <f>+K10*12+L10</f>
        <v>172600</v>
      </c>
      <c r="Q10" s="422">
        <v>1</v>
      </c>
      <c r="R10" s="414">
        <f>14300</f>
        <v>14300</v>
      </c>
      <c r="S10" s="414"/>
      <c r="T10" s="414"/>
      <c r="U10" s="414"/>
      <c r="V10" s="414"/>
      <c r="W10" s="414"/>
      <c r="X10" s="414"/>
      <c r="Y10" s="414"/>
      <c r="Z10" s="414">
        <f>SUM(R10:Y10)</f>
        <v>14300</v>
      </c>
      <c r="AA10" s="414">
        <f>1000*Q10</f>
        <v>1000</v>
      </c>
      <c r="AB10" s="11"/>
      <c r="AC10" s="138"/>
      <c r="AD10" s="62"/>
      <c r="AE10" s="414">
        <f>+Z10*12+AA10</f>
        <v>172600</v>
      </c>
      <c r="AF10" s="414"/>
      <c r="AG10" s="414">
        <f>+P10-AE10</f>
        <v>0</v>
      </c>
      <c r="AH10" s="423">
        <v>1</v>
      </c>
      <c r="AI10" s="414">
        <f>+AD10*12+AE10</f>
        <v>172600</v>
      </c>
    </row>
    <row r="11" spans="1:35" x14ac:dyDescent="0.2">
      <c r="A11" s="424" t="s">
        <v>521</v>
      </c>
      <c r="B11" s="418">
        <v>1</v>
      </c>
      <c r="C11" s="419">
        <f>8409.96+757.49</f>
        <v>9167.4499999999989</v>
      </c>
      <c r="D11" s="419">
        <v>7582.07</v>
      </c>
      <c r="E11" s="419"/>
      <c r="F11" s="419"/>
      <c r="G11" s="419"/>
      <c r="H11" s="419"/>
      <c r="I11" s="419"/>
      <c r="J11" s="419"/>
      <c r="K11" s="419">
        <f t="shared" ref="K11:K32" si="0">+D11+C11</f>
        <v>16749.519999999997</v>
      </c>
      <c r="L11" s="419">
        <f t="shared" ref="L11:L32" si="1">1000*B11</f>
        <v>1000</v>
      </c>
      <c r="M11" s="419"/>
      <c r="N11" s="419"/>
      <c r="O11" s="419"/>
      <c r="P11" s="419">
        <f t="shared" ref="P11:P32" si="2">+K11*12+L11</f>
        <v>201994.23999999996</v>
      </c>
      <c r="Q11" s="424">
        <v>2</v>
      </c>
      <c r="R11" s="419">
        <f>8409.96</f>
        <v>8409.9599999999991</v>
      </c>
      <c r="S11" s="419">
        <v>7582.07</v>
      </c>
      <c r="T11" s="419"/>
      <c r="U11" s="419"/>
      <c r="V11" s="419"/>
      <c r="W11" s="419"/>
      <c r="X11" s="419"/>
      <c r="Y11" s="419"/>
      <c r="Z11" s="419">
        <f t="shared" ref="Z11:Z32" si="3">SUM(R11:Y11)</f>
        <v>15992.029999999999</v>
      </c>
      <c r="AA11" s="419">
        <f t="shared" ref="AA11:AA32" si="4">1000*Q11</f>
        <v>2000</v>
      </c>
      <c r="AB11" s="419"/>
      <c r="AC11" s="419"/>
      <c r="AD11" s="419"/>
      <c r="AE11" s="414">
        <f t="shared" ref="AE11:AE32" si="5">+Z11*12+AA11</f>
        <v>193904.36</v>
      </c>
      <c r="AF11" s="419"/>
      <c r="AG11" s="419">
        <f t="shared" ref="AG11:AG39" si="6">+P11-AE11</f>
        <v>8089.8799999999756</v>
      </c>
      <c r="AH11" s="423">
        <v>2</v>
      </c>
      <c r="AI11" s="414">
        <f t="shared" ref="AI11:AI30" si="7">+AD11*12+AE11</f>
        <v>193904.36</v>
      </c>
    </row>
    <row r="12" spans="1:35" x14ac:dyDescent="0.2">
      <c r="A12" s="424" t="s">
        <v>522</v>
      </c>
      <c r="B12" s="418">
        <v>8</v>
      </c>
      <c r="C12" s="419">
        <v>8582.18</v>
      </c>
      <c r="D12" s="419">
        <v>45950.080000000002</v>
      </c>
      <c r="E12" s="419"/>
      <c r="F12" s="419"/>
      <c r="G12" s="419"/>
      <c r="H12" s="419"/>
      <c r="I12" s="419"/>
      <c r="J12" s="419"/>
      <c r="K12" s="419">
        <f t="shared" si="0"/>
        <v>54532.26</v>
      </c>
      <c r="L12" s="419">
        <v>7000</v>
      </c>
      <c r="M12" s="419"/>
      <c r="N12" s="419"/>
      <c r="O12" s="419"/>
      <c r="P12" s="419">
        <f t="shared" si="2"/>
        <v>661387.12</v>
      </c>
      <c r="Q12" s="424">
        <v>8</v>
      </c>
      <c r="R12" s="419">
        <f>8582.18</f>
        <v>8582.18</v>
      </c>
      <c r="S12" s="419">
        <v>45950.080000000002</v>
      </c>
      <c r="T12" s="419"/>
      <c r="U12" s="419"/>
      <c r="V12" s="419"/>
      <c r="W12" s="419"/>
      <c r="X12" s="419"/>
      <c r="Y12" s="419"/>
      <c r="Z12" s="419">
        <f t="shared" si="3"/>
        <v>54532.26</v>
      </c>
      <c r="AA12" s="419">
        <v>7000</v>
      </c>
      <c r="AB12" s="419"/>
      <c r="AC12" s="419"/>
      <c r="AD12" s="419"/>
      <c r="AE12" s="414">
        <f t="shared" si="5"/>
        <v>661387.12</v>
      </c>
      <c r="AF12" s="419"/>
      <c r="AG12" s="419">
        <f t="shared" si="6"/>
        <v>0</v>
      </c>
      <c r="AH12" s="423">
        <v>8</v>
      </c>
      <c r="AI12" s="414">
        <f t="shared" si="7"/>
        <v>661387.12</v>
      </c>
    </row>
    <row r="13" spans="1:35" x14ac:dyDescent="0.2">
      <c r="A13" s="424" t="s">
        <v>523</v>
      </c>
      <c r="B13" s="418">
        <v>5</v>
      </c>
      <c r="C13" s="419">
        <v>5003.3100000000004</v>
      </c>
      <c r="D13" s="419">
        <v>20921.05</v>
      </c>
      <c r="E13" s="419"/>
      <c r="F13" s="419"/>
      <c r="G13" s="419"/>
      <c r="H13" s="419"/>
      <c r="I13" s="419"/>
      <c r="J13" s="419"/>
      <c r="K13" s="419">
        <f t="shared" si="0"/>
        <v>25924.36</v>
      </c>
      <c r="L13" s="419">
        <f t="shared" si="1"/>
        <v>5000</v>
      </c>
      <c r="M13" s="419"/>
      <c r="N13" s="419"/>
      <c r="O13" s="419"/>
      <c r="P13" s="419">
        <f t="shared" si="2"/>
        <v>316092.32</v>
      </c>
      <c r="Q13" s="424">
        <v>4</v>
      </c>
      <c r="R13" s="419">
        <v>3696.24</v>
      </c>
      <c r="S13" s="419">
        <v>20921.05</v>
      </c>
      <c r="T13" s="419"/>
      <c r="U13" s="419"/>
      <c r="V13" s="419"/>
      <c r="W13" s="419"/>
      <c r="X13" s="419"/>
      <c r="Y13" s="419"/>
      <c r="Z13" s="419">
        <f t="shared" si="3"/>
        <v>24617.29</v>
      </c>
      <c r="AA13" s="419">
        <v>3000</v>
      </c>
      <c r="AB13" s="419"/>
      <c r="AC13" s="419"/>
      <c r="AD13" s="419"/>
      <c r="AE13" s="414">
        <f t="shared" si="5"/>
        <v>298407.48</v>
      </c>
      <c r="AF13" s="419"/>
      <c r="AG13" s="419">
        <f t="shared" si="6"/>
        <v>17684.840000000026</v>
      </c>
      <c r="AH13" s="423">
        <v>4</v>
      </c>
      <c r="AI13" s="414">
        <f t="shared" si="7"/>
        <v>298407.48</v>
      </c>
    </row>
    <row r="14" spans="1:35" x14ac:dyDescent="0.2">
      <c r="A14" s="424" t="s">
        <v>524</v>
      </c>
      <c r="B14" s="418">
        <v>6</v>
      </c>
      <c r="C14" s="419">
        <v>5831.16</v>
      </c>
      <c r="D14" s="419">
        <v>28142.45</v>
      </c>
      <c r="E14" s="419"/>
      <c r="F14" s="419"/>
      <c r="G14" s="419"/>
      <c r="H14" s="419"/>
      <c r="I14" s="419"/>
      <c r="J14" s="419"/>
      <c r="K14" s="419">
        <f t="shared" si="0"/>
        <v>33973.61</v>
      </c>
      <c r="L14" s="419">
        <f t="shared" si="1"/>
        <v>6000</v>
      </c>
      <c r="M14" s="419"/>
      <c r="N14" s="419"/>
      <c r="O14" s="419"/>
      <c r="P14" s="419">
        <f t="shared" si="2"/>
        <v>413683.32</v>
      </c>
      <c r="Q14" s="424">
        <v>6</v>
      </c>
      <c r="R14" s="419">
        <f>5831.16</f>
        <v>5831.16</v>
      </c>
      <c r="S14" s="419">
        <v>28142.45</v>
      </c>
      <c r="T14" s="419"/>
      <c r="U14" s="419"/>
      <c r="V14" s="419"/>
      <c r="W14" s="419"/>
      <c r="X14" s="419"/>
      <c r="Y14" s="419"/>
      <c r="Z14" s="419">
        <f t="shared" si="3"/>
        <v>33973.61</v>
      </c>
      <c r="AA14" s="419">
        <f t="shared" si="4"/>
        <v>6000</v>
      </c>
      <c r="AB14" s="419"/>
      <c r="AC14" s="419"/>
      <c r="AD14" s="419"/>
      <c r="AE14" s="414">
        <f t="shared" si="5"/>
        <v>413683.32</v>
      </c>
      <c r="AF14" s="419"/>
      <c r="AG14" s="419">
        <f t="shared" si="6"/>
        <v>0</v>
      </c>
      <c r="AH14" s="423">
        <v>6</v>
      </c>
      <c r="AI14" s="414">
        <f t="shared" si="7"/>
        <v>413683.32</v>
      </c>
    </row>
    <row r="15" spans="1:35" x14ac:dyDescent="0.2">
      <c r="A15" s="424" t="s">
        <v>525</v>
      </c>
      <c r="B15" s="418">
        <v>21</v>
      </c>
      <c r="C15" s="419">
        <v>18971.689999999999</v>
      </c>
      <c r="D15" s="419">
        <v>103350.9</v>
      </c>
      <c r="E15" s="419"/>
      <c r="F15" s="419"/>
      <c r="G15" s="419"/>
      <c r="H15" s="419"/>
      <c r="I15" s="419"/>
      <c r="J15" s="419"/>
      <c r="K15" s="419">
        <f t="shared" si="0"/>
        <v>122322.59</v>
      </c>
      <c r="L15" s="419">
        <v>19000</v>
      </c>
      <c r="M15" s="419"/>
      <c r="N15" s="419"/>
      <c r="O15" s="419"/>
      <c r="P15" s="419">
        <f t="shared" si="2"/>
        <v>1486871.08</v>
      </c>
      <c r="Q15" s="424">
        <v>20</v>
      </c>
      <c r="R15" s="419">
        <v>17627.43</v>
      </c>
      <c r="S15" s="419">
        <v>103350.9</v>
      </c>
      <c r="T15" s="419"/>
      <c r="U15" s="419"/>
      <c r="V15" s="419"/>
      <c r="W15" s="419"/>
      <c r="X15" s="419"/>
      <c r="Y15" s="419"/>
      <c r="Z15" s="419">
        <f t="shared" si="3"/>
        <v>120978.32999999999</v>
      </c>
      <c r="AA15" s="419">
        <v>18000</v>
      </c>
      <c r="AB15" s="419"/>
      <c r="AC15" s="419"/>
      <c r="AD15" s="419"/>
      <c r="AE15" s="414">
        <f t="shared" si="5"/>
        <v>1469739.96</v>
      </c>
      <c r="AF15" s="419"/>
      <c r="AG15" s="419">
        <f t="shared" si="6"/>
        <v>17131.120000000112</v>
      </c>
      <c r="AH15" s="423">
        <v>21</v>
      </c>
      <c r="AI15" s="414">
        <f t="shared" si="7"/>
        <v>1469739.96</v>
      </c>
    </row>
    <row r="16" spans="1:35" x14ac:dyDescent="0.2">
      <c r="A16" s="424" t="s">
        <v>526</v>
      </c>
      <c r="B16" s="418">
        <v>6</v>
      </c>
      <c r="C16" s="419">
        <v>5482.03</v>
      </c>
      <c r="D16" s="419">
        <v>21313.800000000003</v>
      </c>
      <c r="E16" s="419"/>
      <c r="F16" s="419"/>
      <c r="G16" s="419"/>
      <c r="H16" s="419"/>
      <c r="I16" s="419"/>
      <c r="J16" s="419"/>
      <c r="K16" s="419">
        <f t="shared" si="0"/>
        <v>26795.83</v>
      </c>
      <c r="L16" s="419">
        <f t="shared" si="1"/>
        <v>6000</v>
      </c>
      <c r="M16" s="419"/>
      <c r="N16" s="419"/>
      <c r="O16" s="419"/>
      <c r="P16" s="419">
        <f t="shared" si="2"/>
        <v>327549.96000000002</v>
      </c>
      <c r="Q16" s="424">
        <v>6</v>
      </c>
      <c r="R16" s="419">
        <f>5482.03</f>
        <v>5482.03</v>
      </c>
      <c r="S16" s="419">
        <v>21313.800000000003</v>
      </c>
      <c r="T16" s="419"/>
      <c r="U16" s="419"/>
      <c r="V16" s="419"/>
      <c r="W16" s="419"/>
      <c r="X16" s="419"/>
      <c r="Y16" s="419"/>
      <c r="Z16" s="419">
        <f t="shared" si="3"/>
        <v>26795.83</v>
      </c>
      <c r="AA16" s="419">
        <f t="shared" si="4"/>
        <v>6000</v>
      </c>
      <c r="AB16" s="419"/>
      <c r="AC16" s="419"/>
      <c r="AD16" s="419"/>
      <c r="AE16" s="414">
        <f t="shared" si="5"/>
        <v>327549.96000000002</v>
      </c>
      <c r="AF16" s="419"/>
      <c r="AG16" s="419">
        <f t="shared" si="6"/>
        <v>0</v>
      </c>
      <c r="AH16" s="423">
        <v>6</v>
      </c>
      <c r="AI16" s="414">
        <f t="shared" si="7"/>
        <v>327549.96000000002</v>
      </c>
    </row>
    <row r="17" spans="1:35" x14ac:dyDescent="0.2">
      <c r="A17" s="425"/>
      <c r="B17" s="424"/>
      <c r="C17" s="419"/>
      <c r="D17" s="419"/>
      <c r="E17" s="419"/>
      <c r="F17" s="419"/>
      <c r="G17" s="419"/>
      <c r="H17" s="419"/>
      <c r="I17" s="419"/>
      <c r="J17" s="419"/>
      <c r="K17" s="419">
        <f t="shared" si="0"/>
        <v>0</v>
      </c>
      <c r="L17" s="419">
        <f t="shared" si="1"/>
        <v>0</v>
      </c>
      <c r="M17" s="419"/>
      <c r="N17" s="419"/>
      <c r="O17" s="419"/>
      <c r="P17" s="419">
        <f t="shared" si="2"/>
        <v>0</v>
      </c>
      <c r="Q17" s="424"/>
      <c r="R17" s="419"/>
      <c r="S17" s="419"/>
      <c r="T17" s="419"/>
      <c r="U17" s="419"/>
      <c r="V17" s="419"/>
      <c r="W17" s="419"/>
      <c r="X17" s="419"/>
      <c r="Y17" s="419"/>
      <c r="Z17" s="419">
        <f t="shared" si="3"/>
        <v>0</v>
      </c>
      <c r="AA17" s="419">
        <f t="shared" si="4"/>
        <v>0</v>
      </c>
      <c r="AB17" s="419"/>
      <c r="AC17" s="419"/>
      <c r="AD17" s="419"/>
      <c r="AE17" s="414">
        <f t="shared" si="5"/>
        <v>0</v>
      </c>
      <c r="AF17" s="419"/>
      <c r="AG17" s="419">
        <f t="shared" si="6"/>
        <v>0</v>
      </c>
      <c r="AH17" s="426"/>
      <c r="AI17" s="414">
        <f t="shared" si="7"/>
        <v>0</v>
      </c>
    </row>
    <row r="18" spans="1:35" x14ac:dyDescent="0.2">
      <c r="A18" s="427" t="s">
        <v>4</v>
      </c>
      <c r="B18" s="424"/>
      <c r="C18" s="419"/>
      <c r="D18" s="419"/>
      <c r="E18" s="419"/>
      <c r="F18" s="419"/>
      <c r="G18" s="419"/>
      <c r="H18" s="419"/>
      <c r="I18" s="419"/>
      <c r="J18" s="419"/>
      <c r="K18" s="419">
        <f t="shared" si="0"/>
        <v>0</v>
      </c>
      <c r="L18" s="419">
        <f t="shared" si="1"/>
        <v>0</v>
      </c>
      <c r="M18" s="419"/>
      <c r="N18" s="419"/>
      <c r="O18" s="419"/>
      <c r="P18" s="419">
        <f t="shared" si="2"/>
        <v>0</v>
      </c>
      <c r="Q18" s="424"/>
      <c r="R18" s="419"/>
      <c r="S18" s="419"/>
      <c r="T18" s="419"/>
      <c r="U18" s="419"/>
      <c r="V18" s="419"/>
      <c r="W18" s="419"/>
      <c r="X18" s="419"/>
      <c r="Y18" s="419"/>
      <c r="Z18" s="419">
        <f t="shared" si="3"/>
        <v>0</v>
      </c>
      <c r="AA18" s="419">
        <f t="shared" si="4"/>
        <v>0</v>
      </c>
      <c r="AB18" s="419"/>
      <c r="AC18" s="419"/>
      <c r="AD18" s="419"/>
      <c r="AE18" s="414">
        <f t="shared" si="5"/>
        <v>0</v>
      </c>
      <c r="AF18" s="419"/>
      <c r="AG18" s="419">
        <f t="shared" si="6"/>
        <v>0</v>
      </c>
      <c r="AH18" s="426"/>
      <c r="AI18" s="414">
        <f t="shared" si="7"/>
        <v>0</v>
      </c>
    </row>
    <row r="19" spans="1:35" x14ac:dyDescent="0.2">
      <c r="A19" s="418" t="s">
        <v>12</v>
      </c>
      <c r="B19" s="418">
        <v>16</v>
      </c>
      <c r="C19" s="419">
        <v>12246.18</v>
      </c>
      <c r="D19" s="419">
        <v>64040.26</v>
      </c>
      <c r="E19" s="419"/>
      <c r="F19" s="419"/>
      <c r="G19" s="419"/>
      <c r="H19" s="419"/>
      <c r="I19" s="419"/>
      <c r="J19" s="419"/>
      <c r="K19" s="419">
        <f t="shared" si="0"/>
        <v>76286.44</v>
      </c>
      <c r="L19" s="419">
        <f t="shared" si="1"/>
        <v>16000</v>
      </c>
      <c r="M19" s="419"/>
      <c r="N19" s="419"/>
      <c r="O19" s="419"/>
      <c r="P19" s="419">
        <f t="shared" si="2"/>
        <v>931437.28</v>
      </c>
      <c r="Q19" s="424">
        <v>14</v>
      </c>
      <c r="R19" s="419">
        <f>11547.59</f>
        <v>11547.59</v>
      </c>
      <c r="S19" s="419">
        <v>64040.26</v>
      </c>
      <c r="T19" s="419"/>
      <c r="U19" s="419"/>
      <c r="V19" s="419"/>
      <c r="W19" s="419"/>
      <c r="X19" s="419"/>
      <c r="Y19" s="419"/>
      <c r="Z19" s="419">
        <f t="shared" si="3"/>
        <v>75587.850000000006</v>
      </c>
      <c r="AA19" s="419">
        <f t="shared" si="4"/>
        <v>14000</v>
      </c>
      <c r="AB19" s="419"/>
      <c r="AC19" s="419"/>
      <c r="AD19" s="419"/>
      <c r="AE19" s="414">
        <f t="shared" si="5"/>
        <v>921054.20000000007</v>
      </c>
      <c r="AF19" s="419"/>
      <c r="AG19" s="419">
        <f t="shared" si="6"/>
        <v>10383.079999999958</v>
      </c>
      <c r="AH19" s="423">
        <v>14</v>
      </c>
      <c r="AI19" s="414">
        <f t="shared" si="7"/>
        <v>921054.20000000007</v>
      </c>
    </row>
    <row r="20" spans="1:35" x14ac:dyDescent="0.2">
      <c r="A20" s="424" t="s">
        <v>527</v>
      </c>
      <c r="B20" s="418">
        <v>20</v>
      </c>
      <c r="C20" s="419">
        <v>13932.76</v>
      </c>
      <c r="D20" s="419">
        <v>74151.88</v>
      </c>
      <c r="E20" s="419"/>
      <c r="F20" s="419"/>
      <c r="G20" s="419"/>
      <c r="H20" s="419"/>
      <c r="I20" s="419"/>
      <c r="J20" s="419"/>
      <c r="K20" s="419">
        <f t="shared" si="0"/>
        <v>88084.64</v>
      </c>
      <c r="L20" s="419">
        <f t="shared" si="1"/>
        <v>20000</v>
      </c>
      <c r="M20" s="419"/>
      <c r="N20" s="419"/>
      <c r="O20" s="419"/>
      <c r="P20" s="419">
        <f t="shared" si="2"/>
        <v>1077015.68</v>
      </c>
      <c r="Q20" s="424">
        <v>22</v>
      </c>
      <c r="R20" s="419">
        <v>13932.76</v>
      </c>
      <c r="S20" s="419">
        <v>74151.88</v>
      </c>
      <c r="T20" s="419"/>
      <c r="U20" s="419"/>
      <c r="V20" s="419"/>
      <c r="W20" s="419"/>
      <c r="X20" s="419"/>
      <c r="Y20" s="419"/>
      <c r="Z20" s="419">
        <f t="shared" si="3"/>
        <v>88084.64</v>
      </c>
      <c r="AA20" s="419">
        <f t="shared" si="4"/>
        <v>22000</v>
      </c>
      <c r="AB20" s="419"/>
      <c r="AC20" s="419"/>
      <c r="AD20" s="419"/>
      <c r="AE20" s="414">
        <f t="shared" si="5"/>
        <v>1079015.68</v>
      </c>
      <c r="AF20" s="419"/>
      <c r="AG20" s="419">
        <f t="shared" si="6"/>
        <v>-2000</v>
      </c>
      <c r="AH20" s="423">
        <f>22-3</f>
        <v>19</v>
      </c>
      <c r="AI20" s="414">
        <f t="shared" si="7"/>
        <v>1079015.68</v>
      </c>
    </row>
    <row r="21" spans="1:35" x14ac:dyDescent="0.2">
      <c r="A21" s="424" t="s">
        <v>528</v>
      </c>
      <c r="B21" s="418">
        <v>4</v>
      </c>
      <c r="C21" s="419">
        <v>3273.21</v>
      </c>
      <c r="D21" s="419">
        <v>13482.16</v>
      </c>
      <c r="E21" s="419"/>
      <c r="F21" s="419"/>
      <c r="G21" s="419"/>
      <c r="H21" s="419"/>
      <c r="I21" s="419"/>
      <c r="J21" s="419"/>
      <c r="K21" s="419">
        <f t="shared" si="0"/>
        <v>16755.37</v>
      </c>
      <c r="L21" s="419">
        <f t="shared" si="1"/>
        <v>4000</v>
      </c>
      <c r="M21" s="419"/>
      <c r="N21" s="419"/>
      <c r="O21" s="419"/>
      <c r="P21" s="419">
        <f t="shared" si="2"/>
        <v>205064.44</v>
      </c>
      <c r="Q21" s="424">
        <v>3</v>
      </c>
      <c r="R21" s="419">
        <f>2482.13</f>
        <v>2482.13</v>
      </c>
      <c r="S21" s="419">
        <v>13482.16</v>
      </c>
      <c r="T21" s="419"/>
      <c r="U21" s="419"/>
      <c r="V21" s="419"/>
      <c r="W21" s="419"/>
      <c r="X21" s="419"/>
      <c r="Y21" s="419"/>
      <c r="Z21" s="419">
        <f t="shared" si="3"/>
        <v>15964.29</v>
      </c>
      <c r="AA21" s="419">
        <f t="shared" si="4"/>
        <v>3000</v>
      </c>
      <c r="AB21" s="419"/>
      <c r="AC21" s="419"/>
      <c r="AD21" s="419"/>
      <c r="AE21" s="414">
        <f t="shared" si="5"/>
        <v>194571.48</v>
      </c>
      <c r="AF21" s="419"/>
      <c r="AG21" s="419">
        <f t="shared" si="6"/>
        <v>10492.959999999992</v>
      </c>
      <c r="AH21" s="423">
        <v>3</v>
      </c>
      <c r="AI21" s="414">
        <f t="shared" si="7"/>
        <v>194571.48</v>
      </c>
    </row>
    <row r="22" spans="1:35" x14ac:dyDescent="0.2">
      <c r="A22" s="424" t="s">
        <v>529</v>
      </c>
      <c r="B22" s="418">
        <v>1</v>
      </c>
      <c r="C22" s="419">
        <v>806.95</v>
      </c>
      <c r="D22" s="419">
        <v>3370.54</v>
      </c>
      <c r="E22" s="419"/>
      <c r="F22" s="419"/>
      <c r="G22" s="419"/>
      <c r="H22" s="419"/>
      <c r="I22" s="419"/>
      <c r="J22" s="419"/>
      <c r="K22" s="419">
        <f t="shared" si="0"/>
        <v>4177.49</v>
      </c>
      <c r="L22" s="419">
        <f t="shared" si="1"/>
        <v>1000</v>
      </c>
      <c r="M22" s="419"/>
      <c r="N22" s="419"/>
      <c r="O22" s="419"/>
      <c r="P22" s="419">
        <f t="shared" si="2"/>
        <v>51129.88</v>
      </c>
      <c r="Q22" s="424">
        <v>1</v>
      </c>
      <c r="R22" s="419">
        <f>806.95</f>
        <v>806.95</v>
      </c>
      <c r="S22" s="419">
        <v>3370.54</v>
      </c>
      <c r="T22" s="419"/>
      <c r="U22" s="419"/>
      <c r="V22" s="419"/>
      <c r="W22" s="419"/>
      <c r="X22" s="419"/>
      <c r="Y22" s="419"/>
      <c r="Z22" s="419">
        <f t="shared" si="3"/>
        <v>4177.49</v>
      </c>
      <c r="AA22" s="419">
        <f t="shared" si="4"/>
        <v>1000</v>
      </c>
      <c r="AB22" s="419"/>
      <c r="AC22" s="419"/>
      <c r="AD22" s="419"/>
      <c r="AE22" s="414">
        <f t="shared" si="5"/>
        <v>51129.88</v>
      </c>
      <c r="AF22" s="419"/>
      <c r="AG22" s="419">
        <f t="shared" si="6"/>
        <v>0</v>
      </c>
      <c r="AH22" s="423">
        <v>7</v>
      </c>
      <c r="AI22" s="414">
        <f>+AD22*12+AE22+300000</f>
        <v>351129.88</v>
      </c>
    </row>
    <row r="23" spans="1:35" x14ac:dyDescent="0.2">
      <c r="A23" s="418"/>
      <c r="B23" s="424"/>
      <c r="C23" s="419"/>
      <c r="D23" s="419"/>
      <c r="E23" s="419"/>
      <c r="F23" s="419"/>
      <c r="G23" s="419"/>
      <c r="H23" s="419"/>
      <c r="I23" s="419"/>
      <c r="J23" s="419"/>
      <c r="K23" s="419">
        <f t="shared" si="0"/>
        <v>0</v>
      </c>
      <c r="L23" s="419">
        <f t="shared" si="1"/>
        <v>0</v>
      </c>
      <c r="M23" s="419"/>
      <c r="N23" s="419"/>
      <c r="O23" s="419"/>
      <c r="P23" s="419">
        <f t="shared" si="2"/>
        <v>0</v>
      </c>
      <c r="Q23" s="424"/>
      <c r="R23" s="419"/>
      <c r="S23" s="419"/>
      <c r="T23" s="419"/>
      <c r="U23" s="419"/>
      <c r="V23" s="419"/>
      <c r="W23" s="419"/>
      <c r="X23" s="419"/>
      <c r="Y23" s="419"/>
      <c r="Z23" s="419">
        <f t="shared" si="3"/>
        <v>0</v>
      </c>
      <c r="AA23" s="419">
        <f t="shared" si="4"/>
        <v>0</v>
      </c>
      <c r="AB23" s="419"/>
      <c r="AC23" s="419"/>
      <c r="AD23" s="419"/>
      <c r="AE23" s="414">
        <f t="shared" si="5"/>
        <v>0</v>
      </c>
      <c r="AF23" s="419"/>
      <c r="AG23" s="419">
        <f t="shared" si="6"/>
        <v>0</v>
      </c>
      <c r="AH23" s="426"/>
      <c r="AI23" s="414">
        <f t="shared" si="7"/>
        <v>0</v>
      </c>
    </row>
    <row r="24" spans="1:35" x14ac:dyDescent="0.2">
      <c r="A24" s="427" t="s">
        <v>5</v>
      </c>
      <c r="B24" s="424"/>
      <c r="C24" s="419"/>
      <c r="D24" s="419"/>
      <c r="E24" s="419"/>
      <c r="F24" s="419"/>
      <c r="G24" s="419"/>
      <c r="H24" s="419"/>
      <c r="I24" s="419"/>
      <c r="J24" s="419"/>
      <c r="K24" s="419">
        <f t="shared" si="0"/>
        <v>0</v>
      </c>
      <c r="L24" s="419">
        <f t="shared" si="1"/>
        <v>0</v>
      </c>
      <c r="M24" s="419"/>
      <c r="N24" s="419"/>
      <c r="O24" s="419"/>
      <c r="P24" s="419">
        <f t="shared" si="2"/>
        <v>0</v>
      </c>
      <c r="Q24" s="424"/>
      <c r="R24" s="419"/>
      <c r="S24" s="419"/>
      <c r="T24" s="419"/>
      <c r="U24" s="419"/>
      <c r="V24" s="419"/>
      <c r="W24" s="419"/>
      <c r="X24" s="419"/>
      <c r="Y24" s="419"/>
      <c r="Z24" s="419">
        <f t="shared" si="3"/>
        <v>0</v>
      </c>
      <c r="AA24" s="419">
        <f t="shared" si="4"/>
        <v>0</v>
      </c>
      <c r="AB24" s="419"/>
      <c r="AC24" s="419"/>
      <c r="AD24" s="419"/>
      <c r="AE24" s="414">
        <f t="shared" si="5"/>
        <v>0</v>
      </c>
      <c r="AF24" s="419"/>
      <c r="AG24" s="419">
        <f t="shared" si="6"/>
        <v>0</v>
      </c>
      <c r="AH24" s="426"/>
      <c r="AI24" s="414">
        <f t="shared" si="7"/>
        <v>0</v>
      </c>
    </row>
    <row r="25" spans="1:35" x14ac:dyDescent="0.2">
      <c r="A25" s="418" t="s">
        <v>13</v>
      </c>
      <c r="B25" s="418">
        <v>21</v>
      </c>
      <c r="C25" s="419">
        <v>12104.28</v>
      </c>
      <c r="D25" s="419">
        <v>61288.289999999994</v>
      </c>
      <c r="E25" s="419"/>
      <c r="F25" s="419"/>
      <c r="G25" s="419"/>
      <c r="H25" s="419"/>
      <c r="I25" s="419"/>
      <c r="J25" s="419"/>
      <c r="K25" s="419">
        <f t="shared" si="0"/>
        <v>73392.569999999992</v>
      </c>
      <c r="L25" s="419">
        <f t="shared" si="1"/>
        <v>21000</v>
      </c>
      <c r="M25" s="419"/>
      <c r="N25" s="419"/>
      <c r="O25" s="419"/>
      <c r="P25" s="419">
        <f t="shared" si="2"/>
        <v>901710.83999999985</v>
      </c>
      <c r="Q25" s="424">
        <v>20</v>
      </c>
      <c r="R25" s="419">
        <f>12180.94</f>
        <v>12180.94</v>
      </c>
      <c r="S25" s="419">
        <v>61288.289999999994</v>
      </c>
      <c r="T25" s="419"/>
      <c r="U25" s="419"/>
      <c r="V25" s="419"/>
      <c r="W25" s="419"/>
      <c r="X25" s="419"/>
      <c r="Y25" s="419"/>
      <c r="Z25" s="419">
        <f t="shared" si="3"/>
        <v>73469.23</v>
      </c>
      <c r="AA25" s="419">
        <f t="shared" si="4"/>
        <v>20000</v>
      </c>
      <c r="AB25" s="419"/>
      <c r="AC25" s="419"/>
      <c r="AD25" s="419"/>
      <c r="AE25" s="414">
        <f t="shared" si="5"/>
        <v>901630.76</v>
      </c>
      <c r="AF25" s="419"/>
      <c r="AG25" s="419">
        <f t="shared" si="6"/>
        <v>80.079999999841675</v>
      </c>
      <c r="AH25" s="423">
        <v>20</v>
      </c>
      <c r="AI25" s="414">
        <f t="shared" si="7"/>
        <v>901630.76</v>
      </c>
    </row>
    <row r="26" spans="1:35" x14ac:dyDescent="0.2">
      <c r="A26" s="424" t="s">
        <v>530</v>
      </c>
      <c r="B26" s="418">
        <v>29</v>
      </c>
      <c r="C26" s="419">
        <v>17940.009999999998</v>
      </c>
      <c r="D26" s="419">
        <v>90473.189999999988</v>
      </c>
      <c r="E26" s="419"/>
      <c r="F26" s="419"/>
      <c r="G26" s="419"/>
      <c r="H26" s="419"/>
      <c r="I26" s="419"/>
      <c r="J26" s="419"/>
      <c r="K26" s="419">
        <f t="shared" si="0"/>
        <v>108413.19999999998</v>
      </c>
      <c r="L26" s="419">
        <f t="shared" si="1"/>
        <v>29000</v>
      </c>
      <c r="M26" s="419"/>
      <c r="N26" s="419"/>
      <c r="O26" s="419"/>
      <c r="P26" s="419">
        <f t="shared" si="2"/>
        <v>1329958.3999999999</v>
      </c>
      <c r="Q26" s="424">
        <v>28</v>
      </c>
      <c r="R26" s="419">
        <f>17940.01</f>
        <v>17940.009999999998</v>
      </c>
      <c r="S26" s="419">
        <v>90473.189999999988</v>
      </c>
      <c r="T26" s="419"/>
      <c r="U26" s="419"/>
      <c r="V26" s="419"/>
      <c r="W26" s="419"/>
      <c r="X26" s="419"/>
      <c r="Y26" s="419"/>
      <c r="Z26" s="419">
        <f t="shared" si="3"/>
        <v>108413.19999999998</v>
      </c>
      <c r="AA26" s="419">
        <f t="shared" si="4"/>
        <v>28000</v>
      </c>
      <c r="AB26" s="419"/>
      <c r="AC26" s="419"/>
      <c r="AD26" s="419"/>
      <c r="AE26" s="414">
        <f t="shared" si="5"/>
        <v>1328958.3999999999</v>
      </c>
      <c r="AF26" s="419"/>
      <c r="AG26" s="419">
        <f t="shared" si="6"/>
        <v>1000</v>
      </c>
      <c r="AH26" s="423">
        <v>28</v>
      </c>
      <c r="AI26" s="414">
        <f t="shared" si="7"/>
        <v>1328958.3999999999</v>
      </c>
    </row>
    <row r="27" spans="1:35" x14ac:dyDescent="0.2">
      <c r="A27" s="424" t="s">
        <v>531</v>
      </c>
      <c r="B27" s="418">
        <v>6</v>
      </c>
      <c r="C27" s="419">
        <v>3419.6</v>
      </c>
      <c r="D27" s="419">
        <v>20429.43</v>
      </c>
      <c r="E27" s="419"/>
      <c r="F27" s="419"/>
      <c r="G27" s="419"/>
      <c r="H27" s="419"/>
      <c r="I27" s="419"/>
      <c r="J27" s="419"/>
      <c r="K27" s="419">
        <f t="shared" si="0"/>
        <v>23849.03</v>
      </c>
      <c r="L27" s="419">
        <f t="shared" si="1"/>
        <v>6000</v>
      </c>
      <c r="M27" s="419"/>
      <c r="N27" s="419"/>
      <c r="O27" s="419"/>
      <c r="P27" s="419">
        <f t="shared" si="2"/>
        <v>292188.36</v>
      </c>
      <c r="Q27" s="424">
        <v>6</v>
      </c>
      <c r="R27" s="419">
        <f>3419.6</f>
        <v>3419.6</v>
      </c>
      <c r="S27" s="419">
        <v>20429.43</v>
      </c>
      <c r="T27" s="419"/>
      <c r="U27" s="419"/>
      <c r="V27" s="419"/>
      <c r="W27" s="419"/>
      <c r="X27" s="419"/>
      <c r="Y27" s="419"/>
      <c r="Z27" s="419">
        <f t="shared" si="3"/>
        <v>23849.03</v>
      </c>
      <c r="AA27" s="419">
        <f t="shared" si="4"/>
        <v>6000</v>
      </c>
      <c r="AB27" s="419"/>
      <c r="AC27" s="419"/>
      <c r="AD27" s="419"/>
      <c r="AE27" s="414">
        <f t="shared" si="5"/>
        <v>292188.36</v>
      </c>
      <c r="AF27" s="419"/>
      <c r="AG27" s="419">
        <f t="shared" si="6"/>
        <v>0</v>
      </c>
      <c r="AH27" s="423">
        <v>6</v>
      </c>
      <c r="AI27" s="414">
        <f t="shared" si="7"/>
        <v>292188.36</v>
      </c>
    </row>
    <row r="28" spans="1:35" x14ac:dyDescent="0.2">
      <c r="A28" s="424" t="s">
        <v>14</v>
      </c>
      <c r="B28" s="418">
        <v>1</v>
      </c>
      <c r="C28" s="419">
        <v>543.85</v>
      </c>
      <c r="D28" s="419">
        <v>5836.98</v>
      </c>
      <c r="E28" s="419"/>
      <c r="F28" s="419"/>
      <c r="G28" s="419"/>
      <c r="H28" s="419"/>
      <c r="I28" s="419"/>
      <c r="J28" s="419"/>
      <c r="K28" s="419">
        <f t="shared" si="0"/>
        <v>6380.83</v>
      </c>
      <c r="L28" s="419">
        <f t="shared" si="1"/>
        <v>1000</v>
      </c>
      <c r="M28" s="419"/>
      <c r="N28" s="419"/>
      <c r="O28" s="419"/>
      <c r="P28" s="419">
        <f t="shared" si="2"/>
        <v>77569.959999999992</v>
      </c>
      <c r="Q28" s="424">
        <v>1</v>
      </c>
      <c r="R28" s="419">
        <f>543.85</f>
        <v>543.85</v>
      </c>
      <c r="S28" s="419">
        <v>5836.98</v>
      </c>
      <c r="T28" s="419"/>
      <c r="U28" s="419"/>
      <c r="V28" s="419"/>
      <c r="W28" s="419"/>
      <c r="X28" s="419"/>
      <c r="Y28" s="419"/>
      <c r="Z28" s="419">
        <f t="shared" si="3"/>
        <v>6380.83</v>
      </c>
      <c r="AA28" s="419">
        <f t="shared" si="4"/>
        <v>1000</v>
      </c>
      <c r="AB28" s="419"/>
      <c r="AC28" s="419"/>
      <c r="AD28" s="419"/>
      <c r="AE28" s="414">
        <f t="shared" si="5"/>
        <v>77569.959999999992</v>
      </c>
      <c r="AF28" s="419"/>
      <c r="AG28" s="419">
        <f t="shared" si="6"/>
        <v>0</v>
      </c>
      <c r="AH28" s="423">
        <v>1</v>
      </c>
      <c r="AI28" s="414">
        <f t="shared" si="7"/>
        <v>77569.959999999992</v>
      </c>
    </row>
    <row r="29" spans="1:35" x14ac:dyDescent="0.2">
      <c r="A29" s="424" t="s">
        <v>532</v>
      </c>
      <c r="B29" s="418">
        <v>3</v>
      </c>
      <c r="C29" s="419">
        <v>1622.87</v>
      </c>
      <c r="D29" s="419">
        <v>5836.98</v>
      </c>
      <c r="E29" s="419"/>
      <c r="F29" s="419"/>
      <c r="G29" s="419"/>
      <c r="H29" s="419"/>
      <c r="I29" s="419"/>
      <c r="J29" s="419"/>
      <c r="K29" s="419">
        <f t="shared" si="0"/>
        <v>7459.8499999999995</v>
      </c>
      <c r="L29" s="419">
        <f t="shared" si="1"/>
        <v>3000</v>
      </c>
      <c r="M29" s="419"/>
      <c r="N29" s="419"/>
      <c r="O29" s="419"/>
      <c r="P29" s="419">
        <f t="shared" si="2"/>
        <v>92518.2</v>
      </c>
      <c r="Q29" s="424">
        <v>4</v>
      </c>
      <c r="R29" s="419">
        <f>1622.87</f>
        <v>1622.87</v>
      </c>
      <c r="S29" s="419">
        <v>5836.98</v>
      </c>
      <c r="T29" s="419"/>
      <c r="U29" s="419"/>
      <c r="V29" s="419"/>
      <c r="W29" s="419"/>
      <c r="X29" s="419"/>
      <c r="Y29" s="419"/>
      <c r="Z29" s="419">
        <f t="shared" si="3"/>
        <v>7459.8499999999995</v>
      </c>
      <c r="AA29" s="419">
        <f t="shared" si="4"/>
        <v>4000</v>
      </c>
      <c r="AB29" s="419"/>
      <c r="AC29" s="419"/>
      <c r="AD29" s="419"/>
      <c r="AE29" s="414">
        <f t="shared" si="5"/>
        <v>93518.2</v>
      </c>
      <c r="AF29" s="419"/>
      <c r="AG29" s="419">
        <f t="shared" si="6"/>
        <v>-1000</v>
      </c>
      <c r="AH29" s="423">
        <f>4+9</f>
        <v>13</v>
      </c>
      <c r="AI29" s="414">
        <f>+AD29*12+AE29+300000</f>
        <v>393518.2</v>
      </c>
    </row>
    <row r="30" spans="1:35" x14ac:dyDescent="0.2">
      <c r="A30" s="418"/>
      <c r="B30" s="424"/>
      <c r="C30" s="419"/>
      <c r="D30" s="419"/>
      <c r="E30" s="419"/>
      <c r="F30" s="419"/>
      <c r="G30" s="419"/>
      <c r="H30" s="419"/>
      <c r="I30" s="419"/>
      <c r="J30" s="419"/>
      <c r="K30" s="419">
        <f t="shared" si="0"/>
        <v>0</v>
      </c>
      <c r="L30" s="419">
        <f t="shared" si="1"/>
        <v>0</v>
      </c>
      <c r="M30" s="419"/>
      <c r="N30" s="419"/>
      <c r="O30" s="419"/>
      <c r="P30" s="419">
        <f t="shared" si="2"/>
        <v>0</v>
      </c>
      <c r="Q30" s="424"/>
      <c r="R30" s="419"/>
      <c r="S30" s="419"/>
      <c r="T30" s="419"/>
      <c r="U30" s="419"/>
      <c r="V30" s="419"/>
      <c r="W30" s="419"/>
      <c r="X30" s="419"/>
      <c r="Y30" s="419"/>
      <c r="Z30" s="419">
        <f t="shared" si="3"/>
        <v>0</v>
      </c>
      <c r="AA30" s="419">
        <f t="shared" si="4"/>
        <v>0</v>
      </c>
      <c r="AB30" s="419"/>
      <c r="AC30" s="419"/>
      <c r="AD30" s="419"/>
      <c r="AE30" s="414">
        <f t="shared" si="5"/>
        <v>0</v>
      </c>
      <c r="AF30" s="419"/>
      <c r="AG30" s="419">
        <f t="shared" si="6"/>
        <v>0</v>
      </c>
      <c r="AH30" s="426"/>
      <c r="AI30" s="414">
        <f t="shared" si="7"/>
        <v>0</v>
      </c>
    </row>
    <row r="31" spans="1:35" x14ac:dyDescent="0.2">
      <c r="A31" s="427" t="s">
        <v>6</v>
      </c>
      <c r="B31" s="424"/>
      <c r="C31" s="419"/>
      <c r="D31" s="419"/>
      <c r="E31" s="419"/>
      <c r="F31" s="419"/>
      <c r="G31" s="419"/>
      <c r="H31" s="419"/>
      <c r="I31" s="419"/>
      <c r="J31" s="419"/>
      <c r="K31" s="419">
        <f t="shared" si="0"/>
        <v>0</v>
      </c>
      <c r="L31" s="419">
        <f t="shared" si="1"/>
        <v>0</v>
      </c>
      <c r="M31" s="419"/>
      <c r="N31" s="419"/>
      <c r="O31" s="419"/>
      <c r="P31" s="419">
        <f t="shared" si="2"/>
        <v>0</v>
      </c>
      <c r="Q31" s="424"/>
      <c r="R31" s="419"/>
      <c r="S31" s="419"/>
      <c r="T31" s="419"/>
      <c r="U31" s="419"/>
      <c r="V31" s="419"/>
      <c r="W31" s="419"/>
      <c r="X31" s="419"/>
      <c r="Y31" s="419"/>
      <c r="Z31" s="419">
        <f t="shared" si="3"/>
        <v>0</v>
      </c>
      <c r="AA31" s="419">
        <f t="shared" si="4"/>
        <v>0</v>
      </c>
      <c r="AB31" s="419"/>
      <c r="AC31" s="419"/>
      <c r="AD31" s="419"/>
      <c r="AE31" s="414">
        <f t="shared" si="5"/>
        <v>0</v>
      </c>
      <c r="AF31" s="419"/>
      <c r="AG31" s="419">
        <f t="shared" si="6"/>
        <v>0</v>
      </c>
      <c r="AH31" s="426"/>
      <c r="AI31" s="414"/>
    </row>
    <row r="32" spans="1:35" x14ac:dyDescent="0.2">
      <c r="A32" s="418" t="s">
        <v>15</v>
      </c>
      <c r="B32" s="418">
        <v>5</v>
      </c>
      <c r="C32" s="419">
        <v>3015.61</v>
      </c>
      <c r="D32" s="419">
        <v>19110.98</v>
      </c>
      <c r="E32" s="419"/>
      <c r="F32" s="419"/>
      <c r="G32" s="419"/>
      <c r="H32" s="419"/>
      <c r="I32" s="419"/>
      <c r="J32" s="419"/>
      <c r="K32" s="419">
        <f t="shared" si="0"/>
        <v>22126.59</v>
      </c>
      <c r="L32" s="419">
        <f t="shared" si="1"/>
        <v>5000</v>
      </c>
      <c r="M32" s="419"/>
      <c r="N32" s="419"/>
      <c r="O32" s="419"/>
      <c r="P32" s="419">
        <f t="shared" si="2"/>
        <v>270519.08</v>
      </c>
      <c r="Q32" s="424">
        <v>5</v>
      </c>
      <c r="R32" s="419">
        <f>3015.61</f>
        <v>3015.61</v>
      </c>
      <c r="S32" s="419">
        <v>19110.98</v>
      </c>
      <c r="T32" s="419"/>
      <c r="U32" s="419"/>
      <c r="V32" s="419"/>
      <c r="W32" s="419"/>
      <c r="X32" s="419"/>
      <c r="Y32" s="419"/>
      <c r="Z32" s="419">
        <f t="shared" si="3"/>
        <v>22126.59</v>
      </c>
      <c r="AA32" s="419">
        <f t="shared" si="4"/>
        <v>5000</v>
      </c>
      <c r="AB32" s="419"/>
      <c r="AC32" s="419"/>
      <c r="AD32" s="419"/>
      <c r="AE32" s="414">
        <f t="shared" si="5"/>
        <v>270519.08</v>
      </c>
      <c r="AF32" s="419"/>
      <c r="AG32" s="419">
        <f t="shared" si="6"/>
        <v>0</v>
      </c>
      <c r="AH32" s="423">
        <v>12</v>
      </c>
      <c r="AI32" s="414">
        <f>+AD32*12+AE32+60000</f>
        <v>330519.08</v>
      </c>
    </row>
    <row r="33" spans="1:35" x14ac:dyDescent="0.2">
      <c r="A33" s="418"/>
      <c r="B33" s="418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24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4"/>
      <c r="AF33" s="419"/>
      <c r="AG33" s="419"/>
      <c r="AH33" s="423"/>
      <c r="AI33" s="414">
        <f>SUM(AI9)</f>
        <v>0</v>
      </c>
    </row>
    <row r="34" spans="1:35" x14ac:dyDescent="0.2">
      <c r="A34" s="427" t="s">
        <v>165</v>
      </c>
      <c r="B34" s="418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24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4"/>
      <c r="AF34" s="419"/>
      <c r="AG34" s="419"/>
      <c r="AH34" s="423"/>
      <c r="AI34" s="414"/>
    </row>
    <row r="35" spans="1:35" x14ac:dyDescent="0.2">
      <c r="A35" s="418"/>
      <c r="B35" s="418">
        <v>19</v>
      </c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>
        <v>978120</v>
      </c>
      <c r="Q35" s="424">
        <v>19</v>
      </c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4">
        <v>978120</v>
      </c>
      <c r="AF35" s="419"/>
      <c r="AG35" s="419">
        <f t="shared" si="6"/>
        <v>0</v>
      </c>
      <c r="AH35" s="423">
        <v>19</v>
      </c>
      <c r="AI35" s="414">
        <v>978120</v>
      </c>
    </row>
    <row r="36" spans="1:35" x14ac:dyDescent="0.2">
      <c r="A36" s="427" t="s">
        <v>533</v>
      </c>
      <c r="B36" s="418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24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394"/>
      <c r="AF36" s="419"/>
      <c r="AG36" s="419"/>
      <c r="AH36" s="423"/>
      <c r="AI36" s="414"/>
    </row>
    <row r="37" spans="1:35" x14ac:dyDescent="0.2">
      <c r="A37" s="418"/>
      <c r="B37" s="418">
        <v>68</v>
      </c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>
        <v>81417</v>
      </c>
      <c r="Q37" s="424">
        <v>58</v>
      </c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  <c r="AC37" s="419"/>
      <c r="AD37" s="419"/>
      <c r="AE37" s="414">
        <v>189580.5</v>
      </c>
      <c r="AF37" s="419"/>
      <c r="AG37" s="419">
        <f t="shared" si="6"/>
        <v>-108163.5</v>
      </c>
      <c r="AH37" s="423">
        <v>68</v>
      </c>
      <c r="AI37" s="414">
        <v>379161</v>
      </c>
    </row>
    <row r="38" spans="1:35" x14ac:dyDescent="0.2">
      <c r="A38" s="427" t="s">
        <v>83</v>
      </c>
      <c r="B38" s="418"/>
      <c r="C38" s="419"/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28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4"/>
      <c r="AF38" s="419"/>
      <c r="AG38" s="419"/>
      <c r="AH38" s="423"/>
      <c r="AI38" s="414"/>
    </row>
    <row r="39" spans="1:35" x14ac:dyDescent="0.2">
      <c r="A39" s="418"/>
      <c r="B39" s="418">
        <v>300</v>
      </c>
      <c r="C39" s="419"/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>
        <f>7174372.96+180000</f>
        <v>7354372.96</v>
      </c>
      <c r="Q39" s="424">
        <v>274</v>
      </c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  <c r="AC39" s="419"/>
      <c r="AD39" s="419"/>
      <c r="AE39" s="414">
        <v>7629660</v>
      </c>
      <c r="AF39" s="419"/>
      <c r="AG39" s="419">
        <f t="shared" si="6"/>
        <v>-275287.04000000004</v>
      </c>
      <c r="AH39" s="423">
        <v>303</v>
      </c>
      <c r="AI39" s="414">
        <f>8860667.16+181800</f>
        <v>9042467.1600000001</v>
      </c>
    </row>
    <row r="40" spans="1:35" x14ac:dyDescent="0.2">
      <c r="A40" s="427" t="s">
        <v>534</v>
      </c>
      <c r="B40" s="418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24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19"/>
      <c r="AE40" s="414"/>
      <c r="AF40" s="419"/>
      <c r="AG40" s="419"/>
      <c r="AH40" s="423"/>
      <c r="AI40" s="414"/>
    </row>
    <row r="41" spans="1:35" x14ac:dyDescent="0.2">
      <c r="A41" s="418"/>
      <c r="B41" s="418"/>
      <c r="C41" s="419"/>
      <c r="D41" s="419"/>
      <c r="E41" s="419"/>
      <c r="F41" s="419"/>
      <c r="G41" s="419"/>
      <c r="H41" s="419"/>
      <c r="I41" s="419"/>
      <c r="J41" s="419"/>
      <c r="K41" s="419"/>
      <c r="L41" s="419">
        <f>300*600</f>
        <v>180000</v>
      </c>
      <c r="M41" s="419"/>
      <c r="N41" s="419"/>
      <c r="O41" s="419"/>
      <c r="P41" s="419">
        <v>573509.52</v>
      </c>
      <c r="Q41" s="424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4">
        <v>676285.4</v>
      </c>
      <c r="AF41" s="419"/>
      <c r="AG41" s="419"/>
      <c r="AH41" s="423"/>
      <c r="AI41" s="414">
        <v>725717</v>
      </c>
    </row>
    <row r="42" spans="1:35" x14ac:dyDescent="0.2">
      <c r="A42" s="418"/>
      <c r="B42" s="418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24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4"/>
      <c r="AF42" s="419"/>
      <c r="AG42" s="419"/>
      <c r="AH42" s="423"/>
      <c r="AI42" s="414"/>
    </row>
    <row r="43" spans="1:35" x14ac:dyDescent="0.2">
      <c r="A43" s="138"/>
      <c r="B43" s="416"/>
      <c r="C43" s="394"/>
      <c r="D43" s="394"/>
      <c r="E43" s="420"/>
      <c r="F43" s="420"/>
      <c r="G43" s="420"/>
      <c r="H43" s="420"/>
      <c r="I43" s="420"/>
      <c r="J43" s="420"/>
      <c r="K43" s="394"/>
      <c r="L43" s="394"/>
      <c r="M43" s="420"/>
      <c r="N43" s="394"/>
      <c r="O43" s="428"/>
      <c r="P43" s="414"/>
      <c r="Q43" s="415"/>
      <c r="R43" s="138"/>
      <c r="S43" s="138"/>
      <c r="T43" s="11"/>
      <c r="U43" s="11"/>
      <c r="V43" s="11"/>
      <c r="W43" s="11"/>
      <c r="X43" s="11"/>
      <c r="Y43" s="11"/>
      <c r="Z43" s="138"/>
      <c r="AA43" s="138"/>
      <c r="AB43" s="11"/>
      <c r="AC43" s="138"/>
      <c r="AD43" s="62"/>
      <c r="AE43" s="414"/>
      <c r="AF43" s="414"/>
      <c r="AG43" s="414"/>
      <c r="AH43" s="426"/>
      <c r="AI43" s="14"/>
    </row>
    <row r="44" spans="1:35" ht="12.75" thickBot="1" x14ac:dyDescent="0.25">
      <c r="A44" s="429" t="s">
        <v>0</v>
      </c>
      <c r="B44" s="430">
        <f>SUM(B10:B43)</f>
        <v>541</v>
      </c>
      <c r="C44" s="381">
        <f>SUM(C10:C43)</f>
        <v>136243.13999999998</v>
      </c>
      <c r="D44" s="381">
        <f>SUM(D10:D43)</f>
        <v>585281.03999999992</v>
      </c>
      <c r="E44" s="381"/>
      <c r="F44" s="381"/>
      <c r="G44" s="381"/>
      <c r="H44" s="381"/>
      <c r="I44" s="381"/>
      <c r="J44" s="381"/>
      <c r="K44" s="381">
        <f>SUM(K10:K43)</f>
        <v>721524.17999999982</v>
      </c>
      <c r="L44" s="381">
        <f>SUM(L10:L43)</f>
        <v>331000</v>
      </c>
      <c r="M44" s="381"/>
      <c r="N44" s="381"/>
      <c r="O44" s="381">
        <f>SUM(O10:O32)</f>
        <v>0</v>
      </c>
      <c r="P44" s="381">
        <f>SUM(P10:P43)</f>
        <v>17796709.640000001</v>
      </c>
      <c r="Q44" s="431">
        <f>SUM(Q10:Q42)</f>
        <v>502</v>
      </c>
      <c r="R44" s="381">
        <f>SUM(R10:R43)</f>
        <v>131421.31</v>
      </c>
      <c r="S44" s="381">
        <f>SUM(S10:S43)</f>
        <v>585281.03999999992</v>
      </c>
      <c r="T44" s="381"/>
      <c r="U44" s="381"/>
      <c r="V44" s="381"/>
      <c r="W44" s="381"/>
      <c r="X44" s="381"/>
      <c r="Y44" s="381"/>
      <c r="Z44" s="381">
        <f>SUM(Z10:Z43)</f>
        <v>716702.35</v>
      </c>
      <c r="AA44" s="381">
        <f>SUM(AA10:AA43)</f>
        <v>147000</v>
      </c>
      <c r="AB44" s="381"/>
      <c r="AC44" s="381"/>
      <c r="AD44" s="381"/>
      <c r="AE44" s="381">
        <f>SUM(AE10:AE43)</f>
        <v>18221074.099999998</v>
      </c>
      <c r="AF44" s="381"/>
      <c r="AG44" s="381">
        <f>SUM(AG10:AG43)</f>
        <v>-321588.58000000013</v>
      </c>
      <c r="AH44" s="432">
        <f>SUM(AH10:AH43)</f>
        <v>561</v>
      </c>
      <c r="AI44" s="396">
        <f>SUM(AI10:AI43)</f>
        <v>20532893.359999999</v>
      </c>
    </row>
    <row r="45" spans="1:35" x14ac:dyDescent="0.2">
      <c r="A45" s="138" t="s">
        <v>51</v>
      </c>
      <c r="B45" s="433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G45" s="394"/>
      <c r="AH45" s="394"/>
      <c r="AI45" s="394"/>
    </row>
    <row r="46" spans="1:35" x14ac:dyDescent="0.2">
      <c r="A46" s="138" t="s">
        <v>52</v>
      </c>
      <c r="B46" s="433" t="s">
        <v>151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394"/>
      <c r="Q46" s="433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394"/>
      <c r="AH46" s="433"/>
      <c r="AI46" s="394"/>
    </row>
    <row r="47" spans="1:35" x14ac:dyDescent="0.2">
      <c r="A47" s="138" t="s">
        <v>53</v>
      </c>
      <c r="B47" s="433" t="s">
        <v>54</v>
      </c>
      <c r="C47" s="138"/>
      <c r="D47" s="138"/>
      <c r="E47" s="138"/>
      <c r="F47" s="138"/>
      <c r="G47" s="138"/>
      <c r="H47" s="138"/>
      <c r="I47" s="138"/>
      <c r="J47" s="138"/>
      <c r="K47" s="394"/>
      <c r="L47" s="138"/>
      <c r="M47" s="138"/>
      <c r="N47" s="138"/>
      <c r="O47" s="138"/>
      <c r="P47" s="138"/>
      <c r="Q47" s="433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H47" s="433"/>
      <c r="AI47" s="138"/>
    </row>
    <row r="48" spans="1:35" x14ac:dyDescent="0.2">
      <c r="A48" s="138" t="s">
        <v>55</v>
      </c>
      <c r="B48" s="433" t="s">
        <v>56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433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H48" s="433"/>
      <c r="AI48" s="138"/>
    </row>
    <row r="49" spans="1:35" x14ac:dyDescent="0.2">
      <c r="A49" s="138" t="s">
        <v>57</v>
      </c>
      <c r="B49" s="433" t="s">
        <v>58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433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H49" s="433"/>
      <c r="AI49" s="138"/>
    </row>
    <row r="50" spans="1:35" x14ac:dyDescent="0.2">
      <c r="A50" s="138"/>
      <c r="B50" s="433" t="s">
        <v>59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433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H50" s="433"/>
      <c r="AI50" s="138"/>
    </row>
    <row r="51" spans="1:35" x14ac:dyDescent="0.2">
      <c r="A51" s="138" t="s">
        <v>60</v>
      </c>
      <c r="B51" s="433" t="s">
        <v>142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433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H51" s="433"/>
      <c r="AI51" s="138"/>
    </row>
    <row r="52" spans="1:35" x14ac:dyDescent="0.2">
      <c r="A52" s="138"/>
      <c r="B52" s="433" t="s">
        <v>61</v>
      </c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433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H52" s="433"/>
      <c r="AI52" s="138"/>
    </row>
    <row r="53" spans="1:35" x14ac:dyDescent="0.2">
      <c r="A53" s="138"/>
      <c r="B53" s="433" t="s">
        <v>62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433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H53" s="433"/>
      <c r="AI53" s="138"/>
    </row>
    <row r="54" spans="1:35" x14ac:dyDescent="0.2">
      <c r="A54" s="138"/>
      <c r="B54" s="433" t="s">
        <v>63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433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H54" s="433"/>
      <c r="AI54" s="138"/>
    </row>
    <row r="55" spans="1:35" x14ac:dyDescent="0.2">
      <c r="A55" s="138" t="s">
        <v>177</v>
      </c>
      <c r="B55" s="433" t="s">
        <v>178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433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H55" s="433"/>
      <c r="AI55" s="138"/>
    </row>
    <row r="56" spans="1:35" x14ac:dyDescent="0.2">
      <c r="A56" s="138" t="s">
        <v>179</v>
      </c>
      <c r="B56" s="433" t="s">
        <v>147</v>
      </c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433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H56" s="433"/>
      <c r="AI56" s="138"/>
    </row>
    <row r="57" spans="1:35" x14ac:dyDescent="0.2">
      <c r="A57" s="138" t="s">
        <v>180</v>
      </c>
      <c r="B57" s="433" t="s">
        <v>143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433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H57" s="433"/>
      <c r="AI57" s="138"/>
    </row>
    <row r="58" spans="1:35" x14ac:dyDescent="0.2">
      <c r="A58" s="138"/>
      <c r="B58" s="433" t="s">
        <v>61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433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H58" s="433"/>
      <c r="AI58" s="138"/>
    </row>
    <row r="59" spans="1:35" x14ac:dyDescent="0.2">
      <c r="A59" s="138"/>
      <c r="B59" s="433" t="s">
        <v>62</v>
      </c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433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H59" s="433"/>
      <c r="AI59" s="138"/>
    </row>
    <row r="60" spans="1:35" x14ac:dyDescent="0.2">
      <c r="A60" s="138"/>
      <c r="B60" s="433" t="s">
        <v>106</v>
      </c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433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H60" s="433"/>
      <c r="AI60" s="138"/>
    </row>
    <row r="61" spans="1:35" x14ac:dyDescent="0.2">
      <c r="A61" s="138" t="s">
        <v>189</v>
      </c>
      <c r="B61" s="433" t="s">
        <v>190</v>
      </c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433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H61" s="433"/>
      <c r="AI61" s="138"/>
    </row>
    <row r="62" spans="1:35" x14ac:dyDescent="0.2">
      <c r="A62" s="138" t="s">
        <v>187</v>
      </c>
      <c r="B62" s="433" t="s">
        <v>183</v>
      </c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433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H62" s="433"/>
      <c r="AI62" s="138"/>
    </row>
    <row r="63" spans="1:35" s="93" customFormat="1" x14ac:dyDescent="0.2">
      <c r="A63" s="138" t="s">
        <v>188</v>
      </c>
      <c r="B63" s="433" t="s">
        <v>191</v>
      </c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433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433"/>
      <c r="AI63" s="138"/>
    </row>
    <row r="64" spans="1:35" x14ac:dyDescent="0.2">
      <c r="A64" s="138"/>
      <c r="B64" s="433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433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H64" s="433"/>
      <c r="AI64" s="138"/>
    </row>
    <row r="65" spans="1:33" x14ac:dyDescent="0.2">
      <c r="B65" s="93" t="s">
        <v>61</v>
      </c>
    </row>
    <row r="66" spans="1:33" x14ac:dyDescent="0.2">
      <c r="B66" s="93" t="s">
        <v>62</v>
      </c>
    </row>
    <row r="67" spans="1:33" x14ac:dyDescent="0.2">
      <c r="B67" s="93" t="s">
        <v>106</v>
      </c>
    </row>
    <row r="68" spans="1:33" s="99" customFormat="1" x14ac:dyDescent="0.2">
      <c r="A68" s="99" t="s">
        <v>189</v>
      </c>
      <c r="B68" s="99" t="s">
        <v>190</v>
      </c>
      <c r="AF68" s="138"/>
      <c r="AG68" s="138"/>
    </row>
    <row r="69" spans="1:33" x14ac:dyDescent="0.2">
      <c r="A69" s="99" t="s">
        <v>187</v>
      </c>
      <c r="B69" s="99" t="s">
        <v>183</v>
      </c>
    </row>
    <row r="70" spans="1:33" x14ac:dyDescent="0.2">
      <c r="A70" s="99" t="s">
        <v>188</v>
      </c>
      <c r="B70" s="99" t="s">
        <v>191</v>
      </c>
    </row>
  </sheetData>
  <mergeCells count="5">
    <mergeCell ref="AH4:AI4"/>
    <mergeCell ref="A4:A6"/>
    <mergeCell ref="B4:P4"/>
    <mergeCell ref="Q4:AE4"/>
    <mergeCell ref="AF4:AG4"/>
  </mergeCells>
  <phoneticPr fontId="11" type="noConversion"/>
  <printOptions horizontalCentered="1"/>
  <pageMargins left="0.25" right="0.25" top="0.75" bottom="0.75" header="0.3" footer="0.3"/>
  <pageSetup paperSize="9" scale="40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7">
    <tabColor theme="9" tint="-0.249977111117893"/>
    <pageSetUpPr fitToPage="1"/>
  </sheetPr>
  <dimension ref="A1:U28"/>
  <sheetViews>
    <sheetView zoomScaleNormal="100" zoomScaleSheetLayoutView="80" workbookViewId="0">
      <selection activeCell="J24" sqref="J24"/>
    </sheetView>
  </sheetViews>
  <sheetFormatPr baseColWidth="10" defaultColWidth="11.42578125" defaultRowHeight="12" x14ac:dyDescent="0.2"/>
  <cols>
    <col min="1" max="1" width="64" style="3" customWidth="1"/>
    <col min="2" max="4" width="12.7109375" style="3" customWidth="1"/>
    <col min="5" max="5" width="13.140625" style="3" customWidth="1"/>
    <col min="6" max="6" width="12.7109375" style="3" customWidth="1"/>
    <col min="7" max="7" width="14.28515625" style="3" customWidth="1"/>
    <col min="8" max="8" width="12.7109375" style="3" customWidth="1"/>
    <col min="9" max="9" width="13.85546875" style="3" customWidth="1"/>
    <col min="10" max="10" width="12.7109375" style="3" customWidth="1"/>
    <col min="11" max="16384" width="11.42578125" style="3"/>
  </cols>
  <sheetData>
    <row r="1" spans="1:21" s="115" customFormat="1" x14ac:dyDescent="0.2">
      <c r="A1" s="139" t="s">
        <v>425</v>
      </c>
      <c r="B1" s="139"/>
      <c r="C1" s="139"/>
      <c r="D1" s="139"/>
      <c r="E1" s="139"/>
      <c r="F1" s="139"/>
      <c r="G1" s="139"/>
      <c r="H1" s="139"/>
      <c r="I1" s="139"/>
    </row>
    <row r="2" spans="1:21" s="5" customFormat="1" x14ac:dyDescent="0.2">
      <c r="A2" s="139" t="s">
        <v>341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s="122" customFormat="1" ht="12.75" thickBot="1" x14ac:dyDescent="0.25">
      <c r="A3" s="8"/>
      <c r="B3" s="10"/>
      <c r="E3" s="10"/>
    </row>
    <row r="4" spans="1:21" ht="12" customHeight="1" thickBot="1" x14ac:dyDescent="0.25">
      <c r="A4" s="577" t="s">
        <v>25</v>
      </c>
      <c r="B4" s="587" t="s">
        <v>350</v>
      </c>
      <c r="C4" s="583" t="s">
        <v>426</v>
      </c>
      <c r="D4" s="588" t="s">
        <v>427</v>
      </c>
      <c r="E4" s="581" t="s">
        <v>428</v>
      </c>
      <c r="F4" s="585" t="s">
        <v>429</v>
      </c>
      <c r="G4" s="579" t="s">
        <v>351</v>
      </c>
      <c r="H4" s="581" t="s">
        <v>352</v>
      </c>
      <c r="I4" s="579" t="s">
        <v>431</v>
      </c>
      <c r="J4" s="583" t="s">
        <v>430</v>
      </c>
    </row>
    <row r="5" spans="1:21" ht="31.5" customHeight="1" thickBot="1" x14ac:dyDescent="0.25">
      <c r="A5" s="578"/>
      <c r="B5" s="578"/>
      <c r="C5" s="584"/>
      <c r="D5" s="589"/>
      <c r="E5" s="582"/>
      <c r="F5" s="586"/>
      <c r="G5" s="580"/>
      <c r="H5" s="582"/>
      <c r="I5" s="580"/>
      <c r="J5" s="584"/>
    </row>
    <row r="6" spans="1:21" x14ac:dyDescent="0.2">
      <c r="A6" s="53" t="s">
        <v>540</v>
      </c>
      <c r="B6" s="445">
        <v>2667629</v>
      </c>
      <c r="C6" s="445">
        <v>3016506</v>
      </c>
      <c r="D6" s="445">
        <v>1355708</v>
      </c>
      <c r="E6" s="445">
        <v>2511858</v>
      </c>
      <c r="F6" s="445">
        <v>2200475</v>
      </c>
      <c r="G6" s="448">
        <f>+D6-B6</f>
        <v>-1311921</v>
      </c>
      <c r="H6" s="446">
        <f>+((D6/B6)-1)*100</f>
        <v>-49.179289923748769</v>
      </c>
      <c r="I6" s="445">
        <f>+F6-D6</f>
        <v>844767</v>
      </c>
      <c r="J6" s="450">
        <f>+((F6/D6)-1)*100</f>
        <v>62.311869517624729</v>
      </c>
    </row>
    <row r="7" spans="1:21" x14ac:dyDescent="0.2">
      <c r="A7" s="53" t="s">
        <v>541</v>
      </c>
      <c r="B7" s="445">
        <v>11422142</v>
      </c>
      <c r="C7" s="445">
        <v>17745450</v>
      </c>
      <c r="D7" s="445">
        <v>8618944</v>
      </c>
      <c r="E7" s="445">
        <v>6665853</v>
      </c>
      <c r="F7" s="445">
        <v>5935542</v>
      </c>
      <c r="G7" s="448">
        <f t="shared" ref="G7:G22" si="0">+D7-B7</f>
        <v>-2803198</v>
      </c>
      <c r="H7" s="446">
        <f t="shared" ref="H7:H24" si="1">+((D7/B7)-1)*100</f>
        <v>-24.541789097001242</v>
      </c>
      <c r="I7" s="445">
        <f t="shared" ref="I7:I22" si="2">+F7-D7</f>
        <v>-2683402</v>
      </c>
      <c r="J7" s="450">
        <f t="shared" ref="J7:J24" si="3">+((F7/D7)-1)*100</f>
        <v>-31.133767663416766</v>
      </c>
    </row>
    <row r="8" spans="1:21" x14ac:dyDescent="0.2">
      <c r="A8" s="53" t="s">
        <v>542</v>
      </c>
      <c r="B8" s="445">
        <v>10107637</v>
      </c>
      <c r="C8" s="445">
        <v>12604525</v>
      </c>
      <c r="D8" s="445">
        <v>11469456</v>
      </c>
      <c r="E8" s="445">
        <v>12170860</v>
      </c>
      <c r="F8" s="445">
        <v>12236540</v>
      </c>
      <c r="G8" s="448">
        <f t="shared" si="0"/>
        <v>1361819</v>
      </c>
      <c r="H8" s="446">
        <f t="shared" si="1"/>
        <v>13.473168852423179</v>
      </c>
      <c r="I8" s="445">
        <f t="shared" si="2"/>
        <v>767084</v>
      </c>
      <c r="J8" s="450">
        <f t="shared" si="3"/>
        <v>6.6880591372424192</v>
      </c>
    </row>
    <row r="9" spans="1:21" x14ac:dyDescent="0.2">
      <c r="A9" s="53" t="s">
        <v>543</v>
      </c>
      <c r="B9" s="445">
        <v>1241987</v>
      </c>
      <c r="C9" s="445">
        <v>1922432</v>
      </c>
      <c r="D9" s="445">
        <v>1477325</v>
      </c>
      <c r="E9" s="445">
        <v>1206903</v>
      </c>
      <c r="F9" s="445">
        <v>1244870</v>
      </c>
      <c r="G9" s="448">
        <f t="shared" si="0"/>
        <v>235338</v>
      </c>
      <c r="H9" s="446">
        <f t="shared" si="1"/>
        <v>18.9485075125585</v>
      </c>
      <c r="I9" s="445">
        <f t="shared" si="2"/>
        <v>-232455</v>
      </c>
      <c r="J9" s="450">
        <f t="shared" si="3"/>
        <v>-15.734858612695247</v>
      </c>
    </row>
    <row r="10" spans="1:21" x14ac:dyDescent="0.2">
      <c r="A10" s="53" t="s">
        <v>544</v>
      </c>
      <c r="B10" s="445">
        <v>2354646</v>
      </c>
      <c r="C10" s="445">
        <v>6295207</v>
      </c>
      <c r="D10" s="445">
        <v>4872396</v>
      </c>
      <c r="E10" s="445">
        <v>5804883</v>
      </c>
      <c r="F10" s="445">
        <v>4983234</v>
      </c>
      <c r="G10" s="448">
        <f t="shared" si="0"/>
        <v>2517750</v>
      </c>
      <c r="H10" s="446">
        <f t="shared" si="1"/>
        <v>106.92690111379801</v>
      </c>
      <c r="I10" s="445">
        <f t="shared" si="2"/>
        <v>110838</v>
      </c>
      <c r="J10" s="450">
        <f t="shared" si="3"/>
        <v>2.2748151012356166</v>
      </c>
    </row>
    <row r="11" spans="1:21" x14ac:dyDescent="0.2">
      <c r="A11" s="53" t="s">
        <v>545</v>
      </c>
      <c r="B11" s="445">
        <v>1122472</v>
      </c>
      <c r="C11" s="445">
        <v>2602854</v>
      </c>
      <c r="D11" s="445">
        <v>2909967</v>
      </c>
      <c r="E11" s="445">
        <v>3922619</v>
      </c>
      <c r="F11" s="445">
        <v>5941831</v>
      </c>
      <c r="G11" s="448">
        <f t="shared" si="0"/>
        <v>1787495</v>
      </c>
      <c r="H11" s="446">
        <f t="shared" si="1"/>
        <v>159.24628854884574</v>
      </c>
      <c r="I11" s="445">
        <f t="shared" si="2"/>
        <v>3031864</v>
      </c>
      <c r="J11" s="450">
        <f t="shared" si="3"/>
        <v>104.18894784717492</v>
      </c>
    </row>
    <row r="12" spans="1:21" x14ac:dyDescent="0.2">
      <c r="A12" s="53" t="s">
        <v>546</v>
      </c>
      <c r="B12" s="445">
        <v>6566104</v>
      </c>
      <c r="C12" s="445">
        <v>17392167</v>
      </c>
      <c r="D12" s="445">
        <v>11753987</v>
      </c>
      <c r="E12" s="445">
        <v>15855152</v>
      </c>
      <c r="F12" s="445">
        <v>987218</v>
      </c>
      <c r="G12" s="448">
        <f t="shared" si="0"/>
        <v>5187883</v>
      </c>
      <c r="H12" s="446">
        <f t="shared" si="1"/>
        <v>79.010064415671749</v>
      </c>
      <c r="I12" s="445">
        <f t="shared" si="2"/>
        <v>-10766769</v>
      </c>
      <c r="J12" s="450">
        <f t="shared" si="3"/>
        <v>-91.60099462420709</v>
      </c>
    </row>
    <row r="13" spans="1:21" x14ac:dyDescent="0.2">
      <c r="A13" s="53" t="s">
        <v>547</v>
      </c>
      <c r="B13" s="445">
        <v>781632</v>
      </c>
      <c r="C13" s="445">
        <v>2976223</v>
      </c>
      <c r="D13" s="445">
        <v>991430</v>
      </c>
      <c r="E13" s="445">
        <v>2577258</v>
      </c>
      <c r="F13" s="445">
        <v>940017</v>
      </c>
      <c r="G13" s="448">
        <f t="shared" si="0"/>
        <v>209798</v>
      </c>
      <c r="H13" s="446">
        <f t="shared" si="1"/>
        <v>26.841019814951284</v>
      </c>
      <c r="I13" s="445">
        <f t="shared" si="2"/>
        <v>-51413</v>
      </c>
      <c r="J13" s="450">
        <f t="shared" si="3"/>
        <v>-5.1857418072884576</v>
      </c>
    </row>
    <row r="14" spans="1:21" x14ac:dyDescent="0.2">
      <c r="A14" s="53" t="s">
        <v>548</v>
      </c>
      <c r="B14" s="445">
        <v>20526176</v>
      </c>
      <c r="C14" s="445">
        <v>15502803</v>
      </c>
      <c r="D14" s="445">
        <v>15430732</v>
      </c>
      <c r="E14" s="445">
        <v>9163981</v>
      </c>
      <c r="F14" s="445">
        <v>9110041</v>
      </c>
      <c r="G14" s="448">
        <f t="shared" si="0"/>
        <v>-5095444</v>
      </c>
      <c r="H14" s="446">
        <f t="shared" si="1"/>
        <v>-24.824127007388029</v>
      </c>
      <c r="I14" s="445">
        <f t="shared" si="2"/>
        <v>-6320691</v>
      </c>
      <c r="J14" s="450">
        <f t="shared" si="3"/>
        <v>-40.961705510794957</v>
      </c>
    </row>
    <row r="15" spans="1:21" x14ac:dyDescent="0.2">
      <c r="A15" s="53" t="s">
        <v>549</v>
      </c>
      <c r="B15" s="445">
        <v>651762</v>
      </c>
      <c r="C15" s="445">
        <v>2537198</v>
      </c>
      <c r="D15" s="445">
        <v>496313</v>
      </c>
      <c r="E15" s="445">
        <v>3433574</v>
      </c>
      <c r="F15" s="445">
        <v>435586</v>
      </c>
      <c r="G15" s="448">
        <f t="shared" si="0"/>
        <v>-155449</v>
      </c>
      <c r="H15" s="446">
        <f t="shared" si="1"/>
        <v>-23.850577357992641</v>
      </c>
      <c r="I15" s="445">
        <f t="shared" si="2"/>
        <v>-60727</v>
      </c>
      <c r="J15" s="450">
        <f t="shared" si="3"/>
        <v>-12.235625502455106</v>
      </c>
    </row>
    <row r="16" spans="1:21" x14ac:dyDescent="0.2">
      <c r="A16" s="53" t="s">
        <v>550</v>
      </c>
      <c r="B16" s="445">
        <v>983965</v>
      </c>
      <c r="C16" s="445">
        <v>877360</v>
      </c>
      <c r="D16" s="445">
        <v>807924</v>
      </c>
      <c r="E16" s="445">
        <v>802037</v>
      </c>
      <c r="F16" s="445">
        <v>289059</v>
      </c>
      <c r="G16" s="448">
        <f t="shared" si="0"/>
        <v>-176041</v>
      </c>
      <c r="H16" s="446">
        <f t="shared" si="1"/>
        <v>-17.890981894681211</v>
      </c>
      <c r="I16" s="445">
        <f t="shared" si="2"/>
        <v>-518865</v>
      </c>
      <c r="J16" s="450">
        <f t="shared" si="3"/>
        <v>-64.22200603027018</v>
      </c>
    </row>
    <row r="17" spans="1:10" x14ac:dyDescent="0.2">
      <c r="A17" s="53" t="s">
        <v>551</v>
      </c>
      <c r="B17" s="445">
        <v>1208299</v>
      </c>
      <c r="C17" s="445">
        <v>540221</v>
      </c>
      <c r="D17" s="445">
        <v>929018</v>
      </c>
      <c r="E17" s="445">
        <v>330491</v>
      </c>
      <c r="F17" s="445">
        <v>821335</v>
      </c>
      <c r="G17" s="448">
        <f t="shared" si="0"/>
        <v>-279281</v>
      </c>
      <c r="H17" s="446">
        <f t="shared" si="1"/>
        <v>-23.113567088940734</v>
      </c>
      <c r="I17" s="445">
        <f t="shared" si="2"/>
        <v>-107683</v>
      </c>
      <c r="J17" s="450">
        <f t="shared" si="3"/>
        <v>-11.591056362740016</v>
      </c>
    </row>
    <row r="18" spans="1:10" s="122" customFormat="1" x14ac:dyDescent="0.2">
      <c r="A18" s="53" t="s">
        <v>552</v>
      </c>
      <c r="B18" s="445">
        <v>25570363</v>
      </c>
      <c r="C18" s="445">
        <v>60738681</v>
      </c>
      <c r="D18" s="445">
        <v>26296278</v>
      </c>
      <c r="E18" s="445">
        <v>59908181</v>
      </c>
      <c r="F18" s="445">
        <v>11621829</v>
      </c>
      <c r="G18" s="448">
        <f t="shared" si="0"/>
        <v>725915</v>
      </c>
      <c r="H18" s="446">
        <f t="shared" si="1"/>
        <v>2.8388920407582896</v>
      </c>
      <c r="I18" s="445">
        <f t="shared" si="2"/>
        <v>-14674449</v>
      </c>
      <c r="J18" s="450">
        <f t="shared" si="3"/>
        <v>-55.804281503260647</v>
      </c>
    </row>
    <row r="19" spans="1:10" s="122" customFormat="1" x14ac:dyDescent="0.2">
      <c r="A19" s="53" t="s">
        <v>553</v>
      </c>
      <c r="B19" s="445">
        <v>113753200</v>
      </c>
      <c r="C19" s="445">
        <v>114756074</v>
      </c>
      <c r="D19" s="445">
        <v>116902973</v>
      </c>
      <c r="E19" s="445">
        <v>173847592</v>
      </c>
      <c r="F19" s="445">
        <v>129023175</v>
      </c>
      <c r="G19" s="448">
        <f t="shared" si="0"/>
        <v>3149773</v>
      </c>
      <c r="H19" s="446">
        <f t="shared" si="1"/>
        <v>2.7689533129617416</v>
      </c>
      <c r="I19" s="445">
        <f t="shared" si="2"/>
        <v>12120202</v>
      </c>
      <c r="J19" s="450">
        <f t="shared" si="3"/>
        <v>10.36774488190304</v>
      </c>
    </row>
    <row r="20" spans="1:10" s="122" customFormat="1" x14ac:dyDescent="0.2">
      <c r="A20" s="53" t="s">
        <v>554</v>
      </c>
      <c r="B20" s="445">
        <v>4573506</v>
      </c>
      <c r="C20" s="445">
        <v>36123082</v>
      </c>
      <c r="D20" s="445">
        <v>8402466</v>
      </c>
      <c r="E20" s="445">
        <v>58176015</v>
      </c>
      <c r="F20" s="445">
        <v>17960641</v>
      </c>
      <c r="G20" s="448">
        <f t="shared" si="0"/>
        <v>3828960</v>
      </c>
      <c r="H20" s="446">
        <f t="shared" si="1"/>
        <v>83.720454286055386</v>
      </c>
      <c r="I20" s="445">
        <f t="shared" si="2"/>
        <v>9558175</v>
      </c>
      <c r="J20" s="450">
        <f t="shared" si="3"/>
        <v>113.75440257657692</v>
      </c>
    </row>
    <row r="21" spans="1:10" s="122" customFormat="1" x14ac:dyDescent="0.2">
      <c r="A21" s="53" t="s">
        <v>555</v>
      </c>
      <c r="B21" s="445">
        <v>5559584</v>
      </c>
      <c r="C21" s="445">
        <v>5623684</v>
      </c>
      <c r="D21" s="445">
        <v>11460162</v>
      </c>
      <c r="E21" s="445">
        <v>8828068</v>
      </c>
      <c r="F21" s="445">
        <v>448560</v>
      </c>
      <c r="G21" s="448">
        <f t="shared" si="0"/>
        <v>5900578</v>
      </c>
      <c r="H21" s="446">
        <f t="shared" si="1"/>
        <v>106.13344451671205</v>
      </c>
      <c r="I21" s="445">
        <f t="shared" si="2"/>
        <v>-11011602</v>
      </c>
      <c r="J21" s="450">
        <f t="shared" si="3"/>
        <v>-96.085919204283499</v>
      </c>
    </row>
    <row r="22" spans="1:10" s="122" customFormat="1" x14ac:dyDescent="0.2">
      <c r="A22" s="53" t="s">
        <v>556</v>
      </c>
      <c r="B22" s="445">
        <v>2242814</v>
      </c>
      <c r="C22" s="445">
        <v>3961740</v>
      </c>
      <c r="D22" s="445">
        <v>2500322</v>
      </c>
      <c r="E22" s="445">
        <v>2816235</v>
      </c>
      <c r="F22" s="445">
        <v>1673822</v>
      </c>
      <c r="G22" s="448">
        <f t="shared" si="0"/>
        <v>257508</v>
      </c>
      <c r="H22" s="446">
        <f t="shared" si="1"/>
        <v>11.481469261383248</v>
      </c>
      <c r="I22" s="445">
        <f t="shared" si="2"/>
        <v>-826500</v>
      </c>
      <c r="J22" s="450">
        <f t="shared" si="3"/>
        <v>-33.055742420376255</v>
      </c>
    </row>
    <row r="23" spans="1:10" ht="12.75" thickBot="1" x14ac:dyDescent="0.25">
      <c r="A23" s="53"/>
      <c r="B23" s="30"/>
      <c r="C23" s="40"/>
      <c r="D23" s="38"/>
      <c r="E23" s="30"/>
      <c r="F23" s="51"/>
      <c r="G23" s="449"/>
      <c r="H23" s="318"/>
      <c r="I23" s="37"/>
      <c r="J23" s="451"/>
    </row>
    <row r="24" spans="1:10" ht="12.75" thickBot="1" x14ac:dyDescent="0.25">
      <c r="A24" s="31" t="s">
        <v>39</v>
      </c>
      <c r="B24" s="447">
        <f t="shared" ref="B24:G24" si="4">+SUM(B6:B22)</f>
        <v>211333918</v>
      </c>
      <c r="C24" s="447">
        <f t="shared" si="4"/>
        <v>305216207</v>
      </c>
      <c r="D24" s="447">
        <f t="shared" si="4"/>
        <v>226675401</v>
      </c>
      <c r="E24" s="447">
        <f t="shared" si="4"/>
        <v>368021560</v>
      </c>
      <c r="F24" s="447">
        <f t="shared" si="4"/>
        <v>205853775</v>
      </c>
      <c r="G24" s="447">
        <f t="shared" si="4"/>
        <v>15341483</v>
      </c>
      <c r="H24" s="43">
        <f t="shared" si="1"/>
        <v>7.2593567304231721</v>
      </c>
      <c r="I24" s="447">
        <f>+SUM(I6:I22)</f>
        <v>-20821626</v>
      </c>
      <c r="J24" s="452">
        <f t="shared" si="3"/>
        <v>-9.1856575120826669</v>
      </c>
    </row>
    <row r="25" spans="1:10" x14ac:dyDescent="0.2">
      <c r="A25" s="1" t="s">
        <v>40</v>
      </c>
      <c r="B25" s="2"/>
      <c r="C25" s="2"/>
      <c r="D25" s="2"/>
      <c r="E25" s="2"/>
      <c r="F25" s="2"/>
      <c r="G25" s="2"/>
      <c r="H25" s="2"/>
      <c r="I25" s="2"/>
    </row>
    <row r="26" spans="1:10" s="93" customFormat="1" x14ac:dyDescent="0.2">
      <c r="A26" s="1" t="s">
        <v>353</v>
      </c>
      <c r="B26" s="82"/>
      <c r="C26" s="82"/>
      <c r="D26" s="82"/>
      <c r="E26" s="82"/>
      <c r="F26" s="82"/>
      <c r="G26" s="82"/>
      <c r="H26" s="82"/>
      <c r="I26" s="82"/>
    </row>
    <row r="27" spans="1:10" x14ac:dyDescent="0.2">
      <c r="A27" s="1" t="s">
        <v>152</v>
      </c>
      <c r="B27" s="2"/>
      <c r="C27" s="2"/>
      <c r="D27" s="2"/>
      <c r="E27" s="2"/>
      <c r="F27" s="2"/>
      <c r="G27" s="2"/>
      <c r="H27" s="2"/>
      <c r="I27" s="2"/>
    </row>
    <row r="28" spans="1:10" x14ac:dyDescent="0.2">
      <c r="A28" s="1"/>
      <c r="B28" s="2"/>
      <c r="C28" s="2"/>
      <c r="D28" s="2"/>
      <c r="E28" s="2"/>
      <c r="F28" s="2"/>
      <c r="G28" s="2"/>
      <c r="H28" s="2"/>
      <c r="I28" s="2"/>
    </row>
  </sheetData>
  <sortState xmlns:xlrd2="http://schemas.microsoft.com/office/spreadsheetml/2017/richdata2" ref="A8:K42">
    <sortCondition ref="A8:A42"/>
  </sortState>
  <mergeCells count="10">
    <mergeCell ref="A4:A5"/>
    <mergeCell ref="G4:G5"/>
    <mergeCell ref="I4:I5"/>
    <mergeCell ref="H4:H5"/>
    <mergeCell ref="J4:J5"/>
    <mergeCell ref="C4:C5"/>
    <mergeCell ref="E4:E5"/>
    <mergeCell ref="F4:F5"/>
    <mergeCell ref="B4:B5"/>
    <mergeCell ref="D4:D5"/>
  </mergeCells>
  <phoneticPr fontId="0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9">
    <tabColor theme="9" tint="-0.249977111117893"/>
    <pageSetUpPr fitToPage="1"/>
  </sheetPr>
  <dimension ref="A1:Y32"/>
  <sheetViews>
    <sheetView zoomScaleNormal="100" zoomScaleSheetLayoutView="90" zoomScalePageLayoutView="85" workbookViewId="0">
      <selection activeCell="E24" sqref="E24"/>
    </sheetView>
  </sheetViews>
  <sheetFormatPr baseColWidth="10" defaultColWidth="11.42578125" defaultRowHeight="12" x14ac:dyDescent="0.2"/>
  <cols>
    <col min="1" max="1" width="31.42578125" style="3" customWidth="1"/>
    <col min="2" max="3" width="15.5703125" style="3" customWidth="1"/>
    <col min="4" max="5" width="15.5703125" style="99" customWidth="1"/>
    <col min="6" max="7" width="15.5703125" style="93" customWidth="1"/>
    <col min="8" max="8" width="15.5703125" style="99" customWidth="1"/>
    <col min="9" max="11" width="15.5703125" style="93" customWidth="1"/>
    <col min="12" max="13" width="15.5703125" style="3" customWidth="1"/>
    <col min="14" max="14" width="15.5703125" style="93" customWidth="1"/>
    <col min="15" max="16384" width="11.42578125" style="3"/>
  </cols>
  <sheetData>
    <row r="1" spans="1:25" s="5" customFormat="1" ht="15.75" customHeight="1" x14ac:dyDescent="0.2">
      <c r="A1" s="139" t="s">
        <v>432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5" s="5" customFormat="1" x14ac:dyDescent="0.2">
      <c r="A2" s="139" t="s">
        <v>341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s="93" customFormat="1" ht="12.75" thickBot="1" x14ac:dyDescent="0.25">
      <c r="A3" s="8"/>
      <c r="B3" s="10"/>
      <c r="D3" s="99"/>
      <c r="E3" s="99"/>
      <c r="G3" s="10"/>
      <c r="H3" s="10"/>
    </row>
    <row r="4" spans="1:25" ht="13.5" hidden="1" customHeight="1" x14ac:dyDescent="0.2">
      <c r="A4" s="77" t="s">
        <v>65</v>
      </c>
      <c r="B4" s="74"/>
      <c r="C4" s="59"/>
      <c r="D4" s="101"/>
      <c r="E4" s="101"/>
      <c r="F4" s="94"/>
      <c r="G4" s="94"/>
      <c r="H4" s="101"/>
      <c r="I4" s="94"/>
      <c r="J4" s="94"/>
      <c r="K4" s="94"/>
      <c r="L4" s="59"/>
      <c r="M4" s="59"/>
      <c r="N4" s="94"/>
    </row>
    <row r="5" spans="1:25" ht="57" customHeight="1" thickBot="1" x14ac:dyDescent="0.25">
      <c r="A5" s="236" t="s">
        <v>69</v>
      </c>
      <c r="B5" s="239" t="s">
        <v>70</v>
      </c>
      <c r="C5" s="237" t="s">
        <v>71</v>
      </c>
      <c r="D5" s="237" t="s">
        <v>193</v>
      </c>
      <c r="E5" s="237" t="s">
        <v>194</v>
      </c>
      <c r="F5" s="237" t="s">
        <v>227</v>
      </c>
      <c r="G5" s="237" t="s">
        <v>154</v>
      </c>
      <c r="H5" s="237" t="s">
        <v>192</v>
      </c>
      <c r="I5" s="237" t="s">
        <v>156</v>
      </c>
      <c r="J5" s="237" t="s">
        <v>155</v>
      </c>
      <c r="K5" s="237" t="s">
        <v>157</v>
      </c>
      <c r="L5" s="237" t="s">
        <v>158</v>
      </c>
      <c r="M5" s="237" t="s">
        <v>159</v>
      </c>
      <c r="N5" s="237" t="s">
        <v>160</v>
      </c>
    </row>
    <row r="6" spans="1:25" x14ac:dyDescent="0.2">
      <c r="A6" s="60">
        <v>1</v>
      </c>
      <c r="B6" s="73"/>
      <c r="C6" s="55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</row>
    <row r="7" spans="1:25" x14ac:dyDescent="0.2">
      <c r="A7" s="60">
        <v>2</v>
      </c>
      <c r="B7" s="73"/>
      <c r="C7" s="5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</row>
    <row r="8" spans="1:25" x14ac:dyDescent="0.2">
      <c r="A8" s="60">
        <v>3</v>
      </c>
      <c r="B8" s="73"/>
      <c r="C8" s="55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</row>
    <row r="9" spans="1:25" x14ac:dyDescent="0.2">
      <c r="A9" s="60">
        <v>4</v>
      </c>
      <c r="B9" s="73"/>
      <c r="C9" s="55"/>
      <c r="D9" s="55"/>
      <c r="E9" s="55"/>
      <c r="F9" s="55"/>
      <c r="G9" s="55"/>
      <c r="H9" s="55"/>
      <c r="I9" s="55"/>
      <c r="J9" s="55"/>
      <c r="K9" s="55"/>
      <c r="L9" s="55"/>
      <c r="M9" s="54"/>
      <c r="N9" s="54"/>
    </row>
    <row r="10" spans="1:25" x14ac:dyDescent="0.2">
      <c r="A10" s="60">
        <v>5</v>
      </c>
      <c r="B10" s="73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4"/>
      <c r="N10" s="54"/>
    </row>
    <row r="11" spans="1:25" x14ac:dyDescent="0.2">
      <c r="A11" s="60">
        <v>6</v>
      </c>
      <c r="B11" s="73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4"/>
      <c r="N11" s="54"/>
    </row>
    <row r="12" spans="1:25" x14ac:dyDescent="0.2">
      <c r="A12" s="60">
        <v>7</v>
      </c>
      <c r="B12" s="73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4"/>
      <c r="N12" s="54"/>
    </row>
    <row r="13" spans="1:25" x14ac:dyDescent="0.2">
      <c r="A13" s="60">
        <v>8</v>
      </c>
      <c r="B13" s="73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4"/>
      <c r="N13" s="54"/>
    </row>
    <row r="14" spans="1:25" x14ac:dyDescent="0.2">
      <c r="A14" s="60">
        <v>9</v>
      </c>
      <c r="B14" s="73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4"/>
      <c r="N14" s="54"/>
    </row>
    <row r="15" spans="1:25" x14ac:dyDescent="0.2">
      <c r="A15" s="60">
        <v>10</v>
      </c>
      <c r="B15" s="73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4"/>
      <c r="N15" s="54"/>
    </row>
    <row r="16" spans="1:25" x14ac:dyDescent="0.2">
      <c r="A16" s="60">
        <v>11</v>
      </c>
      <c r="B16" s="73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4"/>
      <c r="N16" s="54"/>
    </row>
    <row r="17" spans="1:14" x14ac:dyDescent="0.2">
      <c r="A17" s="60">
        <v>12</v>
      </c>
      <c r="B17" s="73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4"/>
      <c r="N17" s="54"/>
    </row>
    <row r="18" spans="1:14" x14ac:dyDescent="0.2">
      <c r="A18" s="60">
        <v>13</v>
      </c>
      <c r="B18" s="73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4"/>
      <c r="N18" s="54"/>
    </row>
    <row r="19" spans="1:14" x14ac:dyDescent="0.2">
      <c r="A19" s="60">
        <v>14</v>
      </c>
      <c r="B19" s="73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4"/>
      <c r="N19" s="54"/>
    </row>
    <row r="20" spans="1:14" x14ac:dyDescent="0.2">
      <c r="A20" s="60">
        <v>15</v>
      </c>
      <c r="B20" s="73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4"/>
      <c r="N20" s="54"/>
    </row>
    <row r="21" spans="1:14" x14ac:dyDescent="0.2">
      <c r="A21" s="60">
        <v>16</v>
      </c>
      <c r="B21" s="73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4"/>
      <c r="N21" s="54"/>
    </row>
    <row r="22" spans="1:14" x14ac:dyDescent="0.2">
      <c r="A22" s="60">
        <v>17</v>
      </c>
      <c r="B22" s="73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4"/>
      <c r="N22" s="54"/>
    </row>
    <row r="23" spans="1:14" x14ac:dyDescent="0.2">
      <c r="A23" s="60">
        <v>18</v>
      </c>
      <c r="B23" s="7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4"/>
      <c r="N23" s="54"/>
    </row>
    <row r="24" spans="1:14" x14ac:dyDescent="0.2">
      <c r="A24" s="60">
        <v>19</v>
      </c>
      <c r="B24" s="73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4"/>
      <c r="N24" s="54"/>
    </row>
    <row r="25" spans="1:14" x14ac:dyDescent="0.2">
      <c r="A25" s="60">
        <v>20</v>
      </c>
      <c r="B25" s="73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4"/>
      <c r="N25" s="54"/>
    </row>
    <row r="26" spans="1:14" ht="12.75" thickBot="1" x14ac:dyDescent="0.25">
      <c r="A26" s="78" t="s">
        <v>85</v>
      </c>
      <c r="B26" s="76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51"/>
      <c r="N26" s="51"/>
    </row>
    <row r="27" spans="1:14" ht="12.75" thickBot="1" x14ac:dyDescent="0.25">
      <c r="A27" s="33" t="s">
        <v>0</v>
      </c>
      <c r="B27" s="57"/>
      <c r="C27" s="52"/>
      <c r="D27" s="45"/>
      <c r="E27" s="45"/>
      <c r="F27" s="45"/>
      <c r="G27" s="52"/>
      <c r="H27" s="52"/>
      <c r="I27" s="52"/>
      <c r="J27" s="52"/>
      <c r="K27" s="52"/>
      <c r="L27" s="52"/>
      <c r="M27" s="52"/>
      <c r="N27" s="52"/>
    </row>
    <row r="28" spans="1:14" s="93" customFormat="1" x14ac:dyDescent="0.2">
      <c r="A28" s="1" t="s">
        <v>357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x14ac:dyDescent="0.2">
      <c r="A29" s="19"/>
      <c r="B29" s="19"/>
    </row>
    <row r="30" spans="1:14" x14ac:dyDescent="0.2">
      <c r="A30" s="19"/>
    </row>
    <row r="31" spans="1:14" x14ac:dyDescent="0.2">
      <c r="A31" s="19"/>
    </row>
    <row r="32" spans="1:14" x14ac:dyDescent="0.2">
      <c r="A32" s="19"/>
    </row>
  </sheetData>
  <phoneticPr fontId="11" type="noConversion"/>
  <printOptions horizontalCentered="1"/>
  <pageMargins left="0.25" right="0.25" top="0.75" bottom="0.75" header="0.3" footer="0.3"/>
  <pageSetup paperSize="9" scale="62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0">
    <tabColor theme="9" tint="-0.249977111117893"/>
    <pageSetUpPr fitToPage="1"/>
  </sheetPr>
  <dimension ref="A1:Y32"/>
  <sheetViews>
    <sheetView zoomScaleNormal="100" zoomScaleSheetLayoutView="100" workbookViewId="0">
      <selection activeCell="E33" sqref="E33"/>
    </sheetView>
  </sheetViews>
  <sheetFormatPr baseColWidth="10" defaultColWidth="11.42578125" defaultRowHeight="12" x14ac:dyDescent="0.2"/>
  <cols>
    <col min="1" max="1" width="45.7109375" style="3" customWidth="1"/>
    <col min="2" max="2" width="20.28515625" style="3" customWidth="1"/>
    <col min="3" max="3" width="20.28515625" style="99" customWidth="1"/>
    <col min="4" max="5" width="17.7109375" style="3" customWidth="1"/>
    <col min="6" max="6" width="17.7109375" style="99" customWidth="1"/>
    <col min="7" max="8" width="17.7109375" style="3" customWidth="1"/>
    <col min="9" max="9" width="17.7109375" style="99" customWidth="1"/>
    <col min="10" max="10" width="36.42578125" style="3" customWidth="1"/>
    <col min="11" max="16384" width="11.42578125" style="3"/>
  </cols>
  <sheetData>
    <row r="1" spans="1:25" s="5" customFormat="1" ht="15.75" customHeight="1" x14ac:dyDescent="0.2">
      <c r="A1" s="139" t="s">
        <v>433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25" s="5" customFormat="1" x14ac:dyDescent="0.2">
      <c r="A2" s="139" t="s">
        <v>153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5" ht="14.25" customHeight="1" thickBot="1" x14ac:dyDescent="0.25">
      <c r="A3" s="9"/>
      <c r="B3" s="9"/>
      <c r="C3" s="9"/>
      <c r="D3" s="12"/>
      <c r="E3" s="12"/>
      <c r="F3" s="12"/>
      <c r="G3" s="18"/>
    </row>
    <row r="4" spans="1:25" ht="13.5" hidden="1" customHeight="1" x14ac:dyDescent="0.2">
      <c r="A4" s="74" t="s">
        <v>65</v>
      </c>
      <c r="B4" s="77"/>
      <c r="C4" s="77"/>
      <c r="D4" s="32"/>
      <c r="E4" s="32"/>
      <c r="F4" s="103"/>
      <c r="G4" s="32" t="s">
        <v>26</v>
      </c>
      <c r="H4" s="32" t="s">
        <v>66</v>
      </c>
      <c r="I4" s="101"/>
      <c r="J4" s="59"/>
    </row>
    <row r="5" spans="1:25" ht="36.75" thickBot="1" x14ac:dyDescent="0.25">
      <c r="A5" s="238" t="s">
        <v>72</v>
      </c>
      <c r="B5" s="239" t="s">
        <v>71</v>
      </c>
      <c r="C5" s="239" t="s">
        <v>193</v>
      </c>
      <c r="D5" s="237" t="s">
        <v>194</v>
      </c>
      <c r="E5" s="237" t="s">
        <v>2</v>
      </c>
      <c r="F5" s="237" t="s">
        <v>192</v>
      </c>
      <c r="G5" s="239" t="s">
        <v>74</v>
      </c>
      <c r="H5" s="237" t="s">
        <v>154</v>
      </c>
      <c r="I5" s="237" t="s">
        <v>159</v>
      </c>
      <c r="J5" s="237" t="s">
        <v>73</v>
      </c>
    </row>
    <row r="6" spans="1:25" x14ac:dyDescent="0.2">
      <c r="A6" s="60">
        <v>1</v>
      </c>
      <c r="B6" s="73"/>
      <c r="C6" s="60"/>
      <c r="D6" s="49"/>
      <c r="E6" s="61"/>
      <c r="F6" s="61"/>
      <c r="G6" s="54"/>
      <c r="H6" s="55"/>
      <c r="I6" s="55"/>
      <c r="J6" s="54"/>
    </row>
    <row r="7" spans="1:25" x14ac:dyDescent="0.2">
      <c r="A7" s="60">
        <v>2</v>
      </c>
      <c r="B7" s="73"/>
      <c r="C7" s="60"/>
      <c r="D7" s="49"/>
      <c r="E7" s="61"/>
      <c r="F7" s="61"/>
      <c r="G7" s="54"/>
      <c r="H7" s="55"/>
      <c r="I7" s="55"/>
      <c r="J7" s="54"/>
    </row>
    <row r="8" spans="1:25" x14ac:dyDescent="0.2">
      <c r="A8" s="60">
        <v>3</v>
      </c>
      <c r="B8" s="73"/>
      <c r="C8" s="60"/>
      <c r="D8" s="49"/>
      <c r="E8" s="61"/>
      <c r="F8" s="61"/>
      <c r="G8" s="54"/>
      <c r="H8" s="55"/>
      <c r="I8" s="55"/>
      <c r="J8" s="54"/>
    </row>
    <row r="9" spans="1:25" x14ac:dyDescent="0.2">
      <c r="A9" s="60">
        <v>4</v>
      </c>
      <c r="B9" s="73"/>
      <c r="C9" s="60"/>
      <c r="D9" s="49"/>
      <c r="E9" s="61"/>
      <c r="F9" s="61"/>
      <c r="G9" s="54"/>
      <c r="H9" s="55"/>
      <c r="I9" s="55"/>
      <c r="J9" s="54"/>
    </row>
    <row r="10" spans="1:25" x14ac:dyDescent="0.2">
      <c r="A10" s="60">
        <v>5</v>
      </c>
      <c r="B10" s="73"/>
      <c r="C10" s="60"/>
      <c r="D10" s="49"/>
      <c r="E10" s="61"/>
      <c r="F10" s="61"/>
      <c r="G10" s="54"/>
      <c r="H10" s="55"/>
      <c r="I10" s="55"/>
      <c r="J10" s="54"/>
    </row>
    <row r="11" spans="1:25" x14ac:dyDescent="0.2">
      <c r="A11" s="60">
        <v>6</v>
      </c>
      <c r="B11" s="73"/>
      <c r="C11" s="60"/>
      <c r="D11" s="49"/>
      <c r="E11" s="61"/>
      <c r="F11" s="61"/>
      <c r="G11" s="54"/>
      <c r="H11" s="55"/>
      <c r="I11" s="55"/>
      <c r="J11" s="54"/>
    </row>
    <row r="12" spans="1:25" x14ac:dyDescent="0.2">
      <c r="A12" s="60">
        <v>7</v>
      </c>
      <c r="B12" s="73"/>
      <c r="C12" s="60"/>
      <c r="D12" s="2"/>
      <c r="E12" s="47"/>
      <c r="F12" s="47"/>
      <c r="G12" s="54"/>
      <c r="H12" s="55"/>
      <c r="I12" s="55"/>
      <c r="J12" s="54"/>
    </row>
    <row r="13" spans="1:25" x14ac:dyDescent="0.2">
      <c r="A13" s="60">
        <v>8</v>
      </c>
      <c r="B13" s="73"/>
      <c r="C13" s="60"/>
      <c r="D13" s="49"/>
      <c r="E13" s="61"/>
      <c r="F13" s="61"/>
      <c r="G13" s="54"/>
      <c r="H13" s="55"/>
      <c r="I13" s="55"/>
      <c r="J13" s="54"/>
    </row>
    <row r="14" spans="1:25" x14ac:dyDescent="0.2">
      <c r="A14" s="60">
        <v>9</v>
      </c>
      <c r="B14" s="73"/>
      <c r="C14" s="60"/>
      <c r="D14" s="49"/>
      <c r="E14" s="61"/>
      <c r="F14" s="61"/>
      <c r="G14" s="54"/>
      <c r="H14" s="55"/>
      <c r="I14" s="55"/>
      <c r="J14" s="54"/>
    </row>
    <row r="15" spans="1:25" x14ac:dyDescent="0.2">
      <c r="A15" s="60">
        <v>10</v>
      </c>
      <c r="B15" s="73"/>
      <c r="C15" s="60"/>
      <c r="D15" s="49"/>
      <c r="E15" s="61"/>
      <c r="F15" s="61"/>
      <c r="G15" s="54"/>
      <c r="H15" s="55"/>
      <c r="I15" s="55"/>
      <c r="J15" s="54"/>
    </row>
    <row r="16" spans="1:25" x14ac:dyDescent="0.2">
      <c r="A16" s="60">
        <v>11</v>
      </c>
      <c r="B16" s="73"/>
      <c r="C16" s="60"/>
      <c r="D16" s="49"/>
      <c r="E16" s="61"/>
      <c r="F16" s="61"/>
      <c r="G16" s="54"/>
      <c r="H16" s="55"/>
      <c r="I16" s="55"/>
      <c r="J16" s="54"/>
    </row>
    <row r="17" spans="1:10" x14ac:dyDescent="0.2">
      <c r="A17" s="60">
        <v>12</v>
      </c>
      <c r="B17" s="73"/>
      <c r="C17" s="60"/>
      <c r="D17" s="49"/>
      <c r="E17" s="61"/>
      <c r="F17" s="61"/>
      <c r="G17" s="54"/>
      <c r="H17" s="55"/>
      <c r="I17" s="55"/>
      <c r="J17" s="54"/>
    </row>
    <row r="18" spans="1:10" x14ac:dyDescent="0.2">
      <c r="A18" s="60">
        <v>13</v>
      </c>
      <c r="B18" s="73"/>
      <c r="C18" s="60"/>
      <c r="D18" s="49"/>
      <c r="E18" s="61"/>
      <c r="F18" s="61"/>
      <c r="G18" s="54"/>
      <c r="H18" s="55"/>
      <c r="I18" s="55"/>
      <c r="J18" s="54"/>
    </row>
    <row r="19" spans="1:10" x14ac:dyDescent="0.2">
      <c r="A19" s="60">
        <v>14</v>
      </c>
      <c r="B19" s="73"/>
      <c r="C19" s="60"/>
      <c r="D19" s="49"/>
      <c r="E19" s="61"/>
      <c r="F19" s="61"/>
      <c r="G19" s="54"/>
      <c r="H19" s="55"/>
      <c r="I19" s="55"/>
      <c r="J19" s="54"/>
    </row>
    <row r="20" spans="1:10" x14ac:dyDescent="0.2">
      <c r="A20" s="60">
        <v>15</v>
      </c>
      <c r="B20" s="73"/>
      <c r="C20" s="60"/>
      <c r="D20" s="49"/>
      <c r="E20" s="61"/>
      <c r="F20" s="61"/>
      <c r="G20" s="54"/>
      <c r="H20" s="55"/>
      <c r="I20" s="55"/>
      <c r="J20" s="54"/>
    </row>
    <row r="21" spans="1:10" x14ac:dyDescent="0.2">
      <c r="A21" s="60">
        <v>16</v>
      </c>
      <c r="B21" s="73"/>
      <c r="C21" s="60"/>
      <c r="D21" s="49"/>
      <c r="E21" s="61"/>
      <c r="F21" s="61"/>
      <c r="G21" s="54"/>
      <c r="H21" s="55"/>
      <c r="I21" s="55"/>
      <c r="J21" s="54"/>
    </row>
    <row r="22" spans="1:10" x14ac:dyDescent="0.2">
      <c r="A22" s="60">
        <v>17</v>
      </c>
      <c r="B22" s="73"/>
      <c r="C22" s="60"/>
      <c r="D22" s="49"/>
      <c r="E22" s="61"/>
      <c r="F22" s="61"/>
      <c r="G22" s="54"/>
      <c r="H22" s="55"/>
      <c r="I22" s="55"/>
      <c r="J22" s="54"/>
    </row>
    <row r="23" spans="1:10" x14ac:dyDescent="0.2">
      <c r="A23" s="60">
        <v>18</v>
      </c>
      <c r="B23" s="73"/>
      <c r="C23" s="60"/>
      <c r="D23" s="49"/>
      <c r="E23" s="61"/>
      <c r="F23" s="61"/>
      <c r="G23" s="54"/>
      <c r="H23" s="55"/>
      <c r="I23" s="55"/>
      <c r="J23" s="54"/>
    </row>
    <row r="24" spans="1:10" x14ac:dyDescent="0.2">
      <c r="A24" s="60">
        <v>19</v>
      </c>
      <c r="B24" s="73"/>
      <c r="C24" s="60"/>
      <c r="D24" s="49"/>
      <c r="E24" s="61"/>
      <c r="F24" s="61"/>
      <c r="G24" s="54"/>
      <c r="H24" s="55"/>
      <c r="I24" s="55"/>
      <c r="J24" s="54"/>
    </row>
    <row r="25" spans="1:10" x14ac:dyDescent="0.2">
      <c r="A25" s="60">
        <v>20</v>
      </c>
      <c r="B25" s="73"/>
      <c r="C25" s="60"/>
      <c r="D25" s="49"/>
      <c r="E25" s="61"/>
      <c r="F25" s="61"/>
      <c r="G25" s="54"/>
      <c r="H25" s="55"/>
      <c r="I25" s="55"/>
      <c r="J25" s="54"/>
    </row>
    <row r="26" spans="1:10" ht="12.75" thickBot="1" x14ac:dyDescent="0.25">
      <c r="A26" s="78"/>
      <c r="B26" s="76"/>
      <c r="C26" s="34"/>
      <c r="D26" s="67"/>
      <c r="E26" s="50"/>
      <c r="F26" s="50"/>
      <c r="G26" s="51"/>
      <c r="H26" s="39"/>
      <c r="I26" s="39"/>
      <c r="J26" s="51"/>
    </row>
    <row r="27" spans="1:10" ht="12.75" thickBot="1" x14ac:dyDescent="0.25">
      <c r="A27" s="104" t="s">
        <v>0</v>
      </c>
      <c r="B27" s="57"/>
      <c r="C27" s="41"/>
      <c r="D27" s="102"/>
      <c r="E27" s="100"/>
      <c r="F27" s="100"/>
      <c r="G27" s="52"/>
      <c r="H27" s="45"/>
      <c r="I27" s="45"/>
      <c r="J27" s="52"/>
    </row>
    <row r="28" spans="1:10" x14ac:dyDescent="0.2">
      <c r="A28" s="29"/>
      <c r="B28" s="29"/>
      <c r="C28" s="29"/>
      <c r="D28" s="29"/>
      <c r="E28" s="29"/>
      <c r="F28" s="29"/>
      <c r="G28" s="2"/>
    </row>
    <row r="29" spans="1:10" x14ac:dyDescent="0.2">
      <c r="A29" s="19"/>
      <c r="B29" s="19"/>
      <c r="C29" s="19"/>
      <c r="D29" s="19"/>
      <c r="E29" s="19"/>
      <c r="F29" s="19"/>
      <c r="G29" s="2"/>
    </row>
    <row r="30" spans="1:10" x14ac:dyDescent="0.2">
      <c r="A30" s="19"/>
    </row>
    <row r="31" spans="1:10" x14ac:dyDescent="0.2">
      <c r="A31" s="19"/>
    </row>
    <row r="32" spans="1:10" x14ac:dyDescent="0.2">
      <c r="A32" s="19"/>
    </row>
  </sheetData>
  <phoneticPr fontId="11" type="noConversion"/>
  <printOptions horizontalCentered="1"/>
  <pageMargins left="0.25" right="0.25" top="0.75" bottom="0.75" header="0.3" footer="0.3"/>
  <pageSetup paperSize="9" scale="63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1">
    <tabColor theme="9" tint="-0.249977111117893"/>
    <pageSetUpPr fitToPage="1"/>
  </sheetPr>
  <dimension ref="A1:W20"/>
  <sheetViews>
    <sheetView zoomScaleNormal="100" zoomScaleSheetLayoutView="100" zoomScalePageLayoutView="85" workbookViewId="0">
      <selection activeCell="D31" sqref="D31"/>
    </sheetView>
  </sheetViews>
  <sheetFormatPr baseColWidth="10" defaultColWidth="11.42578125" defaultRowHeight="12" x14ac:dyDescent="0.2"/>
  <cols>
    <col min="1" max="1" width="35.7109375" style="3" customWidth="1"/>
    <col min="2" max="2" width="30.7109375" style="3" customWidth="1"/>
    <col min="3" max="3" width="31.140625" style="138" customWidth="1"/>
    <col min="4" max="4" width="23.28515625" style="3" customWidth="1"/>
    <col min="5" max="5" width="22.28515625" style="122" customWidth="1"/>
    <col min="6" max="6" width="32.85546875" style="3" customWidth="1"/>
    <col min="7" max="7" width="39.5703125" style="3" customWidth="1"/>
    <col min="8" max="8" width="23.5703125" style="3" customWidth="1"/>
    <col min="9" max="16384" width="11.42578125" style="3"/>
  </cols>
  <sheetData>
    <row r="1" spans="1:23" s="5" customFormat="1" x14ac:dyDescent="0.2">
      <c r="A1" s="139" t="s">
        <v>434</v>
      </c>
      <c r="B1" s="139"/>
      <c r="C1" s="139"/>
      <c r="D1" s="139"/>
      <c r="E1" s="139"/>
      <c r="F1" s="139"/>
      <c r="G1" s="139"/>
    </row>
    <row r="2" spans="1:23" s="5" customFormat="1" x14ac:dyDescent="0.2">
      <c r="A2" s="139" t="s">
        <v>341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ht="12.75" thickBot="1" x14ac:dyDescent="0.25">
      <c r="A3" s="12"/>
      <c r="B3" s="12"/>
      <c r="C3" s="12"/>
      <c r="D3" s="18"/>
      <c r="E3" s="18"/>
      <c r="F3" s="18"/>
    </row>
    <row r="4" spans="1:23" ht="12.75" thickBot="1" x14ac:dyDescent="0.25">
      <c r="A4" s="590" t="s">
        <v>27</v>
      </c>
      <c r="B4" s="590" t="s">
        <v>358</v>
      </c>
      <c r="C4" s="590" t="s">
        <v>359</v>
      </c>
      <c r="D4" s="240" t="s">
        <v>398</v>
      </c>
      <c r="E4" s="240" t="s">
        <v>355</v>
      </c>
      <c r="F4" s="355" t="s">
        <v>356</v>
      </c>
      <c r="G4" s="590" t="s">
        <v>41</v>
      </c>
      <c r="H4" s="590" t="s">
        <v>109</v>
      </c>
    </row>
    <row r="5" spans="1:23" ht="12.75" customHeight="1" thickBot="1" x14ac:dyDescent="0.25">
      <c r="A5" s="591"/>
      <c r="B5" s="591"/>
      <c r="C5" s="591"/>
      <c r="D5" s="241" t="s">
        <v>354</v>
      </c>
      <c r="E5" s="241" t="s">
        <v>354</v>
      </c>
      <c r="F5" s="241" t="s">
        <v>354</v>
      </c>
      <c r="G5" s="592"/>
      <c r="H5" s="592"/>
    </row>
    <row r="6" spans="1:23" ht="12" customHeight="1" x14ac:dyDescent="0.2">
      <c r="A6" s="60">
        <v>1</v>
      </c>
      <c r="B6" s="60" t="s">
        <v>85</v>
      </c>
      <c r="C6" s="60" t="s">
        <v>85</v>
      </c>
      <c r="D6" s="58"/>
      <c r="E6" s="2"/>
      <c r="F6" s="319"/>
      <c r="G6" s="48"/>
      <c r="H6" s="48"/>
    </row>
    <row r="7" spans="1:23" x14ac:dyDescent="0.2">
      <c r="A7" s="60">
        <v>2</v>
      </c>
      <c r="B7" s="60" t="s">
        <v>85</v>
      </c>
      <c r="C7" s="60" t="s">
        <v>85</v>
      </c>
      <c r="D7" s="58"/>
      <c r="E7" s="2"/>
      <c r="F7" s="319"/>
      <c r="G7" s="48"/>
      <c r="H7" s="48"/>
    </row>
    <row r="8" spans="1:23" x14ac:dyDescent="0.2">
      <c r="A8" s="60">
        <v>3</v>
      </c>
      <c r="B8" s="60" t="s">
        <v>85</v>
      </c>
      <c r="C8" s="60" t="s">
        <v>85</v>
      </c>
      <c r="D8" s="58"/>
      <c r="E8" s="2"/>
      <c r="F8" s="319"/>
      <c r="G8" s="48"/>
      <c r="H8" s="48"/>
    </row>
    <row r="9" spans="1:23" x14ac:dyDescent="0.2">
      <c r="A9" s="60">
        <v>4</v>
      </c>
      <c r="B9" s="60" t="s">
        <v>85</v>
      </c>
      <c r="C9" s="60" t="s">
        <v>85</v>
      </c>
      <c r="D9" s="58"/>
      <c r="E9" s="2"/>
      <c r="F9" s="319"/>
      <c r="G9" s="48"/>
      <c r="H9" s="48"/>
    </row>
    <row r="10" spans="1:23" x14ac:dyDescent="0.2">
      <c r="A10" s="60">
        <v>5</v>
      </c>
      <c r="B10" s="60" t="s">
        <v>85</v>
      </c>
      <c r="C10" s="60" t="s">
        <v>85</v>
      </c>
      <c r="D10" s="58"/>
      <c r="E10" s="2"/>
      <c r="F10" s="319"/>
      <c r="G10" s="48"/>
      <c r="H10" s="48"/>
    </row>
    <row r="11" spans="1:23" x14ac:dyDescent="0.2">
      <c r="A11" s="60">
        <v>6</v>
      </c>
      <c r="B11" s="60"/>
      <c r="C11" s="60"/>
      <c r="D11" s="58"/>
      <c r="E11" s="2"/>
      <c r="F11" s="319"/>
      <c r="G11" s="48"/>
      <c r="H11" s="48"/>
    </row>
    <row r="12" spans="1:23" x14ac:dyDescent="0.2">
      <c r="A12" s="60">
        <v>7</v>
      </c>
      <c r="B12" s="60"/>
      <c r="C12" s="60"/>
      <c r="D12" s="58"/>
      <c r="E12" s="2"/>
      <c r="F12" s="319"/>
      <c r="G12" s="48"/>
      <c r="H12" s="48"/>
    </row>
    <row r="13" spans="1:23" x14ac:dyDescent="0.2">
      <c r="A13" s="60">
        <v>8</v>
      </c>
      <c r="B13" s="60"/>
      <c r="C13" s="60"/>
      <c r="D13" s="58"/>
      <c r="E13" s="2"/>
      <c r="F13" s="319"/>
      <c r="G13" s="48"/>
      <c r="H13" s="48"/>
    </row>
    <row r="14" spans="1:23" x14ac:dyDescent="0.2">
      <c r="A14" s="60">
        <v>9</v>
      </c>
      <c r="B14" s="60"/>
      <c r="C14" s="60"/>
      <c r="D14" s="58"/>
      <c r="E14" s="2"/>
      <c r="F14" s="319"/>
      <c r="G14" s="48"/>
      <c r="H14" s="48"/>
    </row>
    <row r="15" spans="1:23" x14ac:dyDescent="0.2">
      <c r="A15" s="60"/>
      <c r="B15" s="60"/>
      <c r="C15" s="60"/>
      <c r="D15" s="58"/>
      <c r="E15" s="2"/>
      <c r="F15" s="319"/>
      <c r="G15" s="48"/>
      <c r="H15" s="48"/>
    </row>
    <row r="16" spans="1:23" ht="12.75" thickBot="1" x14ac:dyDescent="0.25">
      <c r="A16" s="75"/>
      <c r="B16" s="75"/>
      <c r="C16" s="75"/>
      <c r="D16" s="37"/>
      <c r="E16" s="30"/>
      <c r="F16" s="320"/>
      <c r="G16" s="40"/>
      <c r="H16" s="40"/>
    </row>
    <row r="17" spans="1:8" ht="12.75" thickBot="1" x14ac:dyDescent="0.25">
      <c r="A17" s="104" t="s">
        <v>28</v>
      </c>
      <c r="B17" s="57"/>
      <c r="C17" s="57"/>
      <c r="D17" s="42"/>
      <c r="E17" s="44"/>
      <c r="F17" s="321"/>
      <c r="G17" s="46"/>
      <c r="H17" s="46"/>
    </row>
    <row r="18" spans="1:8" x14ac:dyDescent="0.2">
      <c r="A18" s="29"/>
      <c r="B18" s="29"/>
      <c r="C18" s="29"/>
      <c r="D18" s="2"/>
      <c r="E18" s="2"/>
      <c r="F18" s="2"/>
    </row>
    <row r="19" spans="1:8" x14ac:dyDescent="0.2">
      <c r="A19" s="19" t="s">
        <v>42</v>
      </c>
      <c r="B19" s="19"/>
      <c r="C19" s="19"/>
      <c r="D19" s="2"/>
      <c r="E19" s="2"/>
      <c r="F19" s="2"/>
    </row>
    <row r="20" spans="1:8" x14ac:dyDescent="0.2">
      <c r="A20" s="1" t="s">
        <v>110</v>
      </c>
      <c r="B20" s="1"/>
      <c r="C20" s="1"/>
      <c r="D20" s="2"/>
      <c r="E20" s="2"/>
      <c r="F20" s="2"/>
    </row>
  </sheetData>
  <mergeCells count="5">
    <mergeCell ref="B4:B5"/>
    <mergeCell ref="H4:H5"/>
    <mergeCell ref="A4:A5"/>
    <mergeCell ref="G4:G5"/>
    <mergeCell ref="C4:C5"/>
  </mergeCells>
  <phoneticPr fontId="0" type="noConversion"/>
  <printOptions horizontalCentered="1"/>
  <pageMargins left="0.25" right="0.29950980392156862" top="0.75" bottom="0.75" header="0.3" footer="0.3"/>
  <pageSetup paperSize="9" scale="60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V27"/>
  <sheetViews>
    <sheetView zoomScaleNormal="100" zoomScaleSheetLayoutView="100" zoomScalePageLayoutView="85" workbookViewId="0">
      <selection activeCell="A8" sqref="A8"/>
    </sheetView>
  </sheetViews>
  <sheetFormatPr baseColWidth="10" defaultColWidth="11.42578125" defaultRowHeight="12" x14ac:dyDescent="0.2"/>
  <cols>
    <col min="1" max="1" width="42" style="322" bestFit="1" customWidth="1"/>
    <col min="2" max="2" width="23.5703125" style="322" customWidth="1"/>
    <col min="3" max="3" width="35.42578125" style="322" customWidth="1"/>
    <col min="4" max="8" width="15.5703125" style="322" customWidth="1"/>
    <col min="9" max="16384" width="11.42578125" style="322"/>
  </cols>
  <sheetData>
    <row r="1" spans="1:22" s="346" customFormat="1" ht="15.75" x14ac:dyDescent="0.25">
      <c r="A1" s="348" t="s">
        <v>435</v>
      </c>
      <c r="B1" s="347"/>
      <c r="C1" s="347"/>
      <c r="D1" s="347"/>
      <c r="E1" s="347"/>
      <c r="F1" s="347"/>
      <c r="G1" s="347"/>
      <c r="H1" s="347"/>
    </row>
    <row r="2" spans="1:22" s="345" customFormat="1" ht="15.75" x14ac:dyDescent="0.2">
      <c r="A2" s="139" t="s">
        <v>341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2" ht="12.75" thickBot="1" x14ac:dyDescent="0.25"/>
    <row r="4" spans="1:22" ht="12.75" thickBot="1" x14ac:dyDescent="0.25">
      <c r="A4" s="595" t="s">
        <v>367</v>
      </c>
      <c r="B4" s="595" t="s">
        <v>87</v>
      </c>
      <c r="C4" s="593" t="s">
        <v>366</v>
      </c>
      <c r="D4" s="594"/>
      <c r="E4" s="594"/>
      <c r="F4" s="594"/>
      <c r="G4" s="594"/>
      <c r="H4" s="594"/>
    </row>
    <row r="5" spans="1:22" s="340" customFormat="1" ht="13.5" customHeight="1" thickBot="1" x14ac:dyDescent="0.25">
      <c r="A5" s="596"/>
      <c r="B5" s="596"/>
      <c r="C5" s="344" t="s">
        <v>365</v>
      </c>
      <c r="D5" s="343" t="s">
        <v>364</v>
      </c>
      <c r="E5" s="342" t="s">
        <v>363</v>
      </c>
      <c r="F5" s="341" t="s">
        <v>362</v>
      </c>
      <c r="G5" s="341" t="s">
        <v>368</v>
      </c>
      <c r="H5" s="341" t="s">
        <v>369</v>
      </c>
    </row>
    <row r="6" spans="1:22" x14ac:dyDescent="0.2">
      <c r="A6" s="339"/>
      <c r="B6" s="338"/>
      <c r="C6" s="332"/>
      <c r="D6" s="334"/>
      <c r="E6" s="333"/>
      <c r="F6" s="332"/>
      <c r="G6" s="332"/>
      <c r="H6" s="332"/>
    </row>
    <row r="7" spans="1:22" x14ac:dyDescent="0.2">
      <c r="A7" s="328" t="s">
        <v>29</v>
      </c>
      <c r="B7" s="327"/>
      <c r="C7" s="332"/>
      <c r="D7" s="334"/>
      <c r="E7" s="333"/>
      <c r="F7" s="332"/>
      <c r="G7" s="332"/>
      <c r="H7" s="332"/>
    </row>
    <row r="8" spans="1:22" x14ac:dyDescent="0.2">
      <c r="A8" s="328"/>
      <c r="B8" s="327"/>
      <c r="C8" s="332"/>
      <c r="D8" s="334"/>
      <c r="E8" s="333"/>
      <c r="F8" s="332"/>
      <c r="G8" s="332"/>
      <c r="H8" s="332"/>
    </row>
    <row r="9" spans="1:22" x14ac:dyDescent="0.2">
      <c r="A9" s="328" t="s">
        <v>30</v>
      </c>
      <c r="B9" s="327"/>
      <c r="C9" s="332"/>
      <c r="D9" s="334"/>
      <c r="E9" s="333"/>
      <c r="F9" s="332"/>
      <c r="G9" s="332"/>
      <c r="H9" s="332"/>
    </row>
    <row r="10" spans="1:22" x14ac:dyDescent="0.2">
      <c r="A10" s="328"/>
      <c r="B10" s="327"/>
      <c r="C10" s="332"/>
      <c r="D10" s="334"/>
      <c r="E10" s="333"/>
      <c r="F10" s="332"/>
      <c r="G10" s="332"/>
      <c r="H10" s="332"/>
    </row>
    <row r="11" spans="1:22" x14ac:dyDescent="0.2">
      <c r="A11" s="328" t="s">
        <v>31</v>
      </c>
      <c r="B11" s="327"/>
      <c r="C11" s="332"/>
      <c r="D11" s="334"/>
      <c r="E11" s="333"/>
      <c r="F11" s="332"/>
      <c r="G11" s="332"/>
      <c r="H11" s="332"/>
    </row>
    <row r="12" spans="1:22" x14ac:dyDescent="0.2">
      <c r="A12" s="328" t="s">
        <v>361</v>
      </c>
      <c r="B12" s="327"/>
      <c r="C12" s="332"/>
      <c r="D12" s="334"/>
      <c r="E12" s="333"/>
      <c r="F12" s="332"/>
      <c r="G12" s="332"/>
      <c r="H12" s="332"/>
    </row>
    <row r="13" spans="1:22" x14ac:dyDescent="0.2">
      <c r="A13" s="328"/>
      <c r="B13" s="327"/>
      <c r="C13" s="332"/>
      <c r="D13" s="334"/>
      <c r="E13" s="333"/>
      <c r="F13" s="332"/>
      <c r="G13" s="332"/>
      <c r="H13" s="332"/>
    </row>
    <row r="14" spans="1:22" x14ac:dyDescent="0.2">
      <c r="A14" s="328" t="s">
        <v>32</v>
      </c>
      <c r="B14" s="327"/>
      <c r="C14" s="335"/>
      <c r="D14" s="337"/>
      <c r="E14" s="336"/>
      <c r="F14" s="335"/>
      <c r="G14" s="332"/>
      <c r="H14" s="332"/>
    </row>
    <row r="15" spans="1:22" x14ac:dyDescent="0.2">
      <c r="A15" s="328"/>
      <c r="B15" s="327"/>
      <c r="C15" s="332"/>
      <c r="D15" s="334"/>
      <c r="E15" s="333"/>
      <c r="F15" s="332"/>
      <c r="G15" s="332"/>
      <c r="H15" s="332"/>
    </row>
    <row r="16" spans="1:22" x14ac:dyDescent="0.2">
      <c r="A16" s="328" t="s">
        <v>33</v>
      </c>
      <c r="B16" s="327"/>
      <c r="C16" s="332"/>
      <c r="D16" s="334"/>
      <c r="E16" s="333"/>
      <c r="F16" s="332"/>
      <c r="G16" s="332"/>
      <c r="H16" s="332"/>
    </row>
    <row r="17" spans="1:8" x14ac:dyDescent="0.2">
      <c r="A17" s="328"/>
      <c r="B17" s="327"/>
      <c r="C17" s="332"/>
      <c r="D17" s="334"/>
      <c r="E17" s="333"/>
      <c r="F17" s="332"/>
      <c r="G17" s="332"/>
      <c r="H17" s="332"/>
    </row>
    <row r="18" spans="1:8" x14ac:dyDescent="0.2">
      <c r="A18" s="328" t="s">
        <v>37</v>
      </c>
      <c r="B18" s="327"/>
      <c r="C18" s="332"/>
      <c r="D18" s="334"/>
      <c r="E18" s="333"/>
      <c r="F18" s="332"/>
      <c r="G18" s="332"/>
      <c r="H18" s="332"/>
    </row>
    <row r="19" spans="1:8" x14ac:dyDescent="0.2">
      <c r="A19" s="328" t="s">
        <v>38</v>
      </c>
      <c r="B19" s="327"/>
      <c r="C19" s="332"/>
      <c r="D19" s="334"/>
      <c r="E19" s="333"/>
      <c r="F19" s="332"/>
      <c r="G19" s="332"/>
      <c r="H19" s="332"/>
    </row>
    <row r="20" spans="1:8" x14ac:dyDescent="0.2">
      <c r="A20" s="328" t="s">
        <v>34</v>
      </c>
      <c r="B20" s="327"/>
      <c r="C20" s="332"/>
      <c r="D20" s="334"/>
      <c r="E20" s="333"/>
      <c r="F20" s="332"/>
      <c r="G20" s="332"/>
      <c r="H20" s="332"/>
    </row>
    <row r="21" spans="1:8" x14ac:dyDescent="0.2">
      <c r="A21" s="328" t="s">
        <v>35</v>
      </c>
      <c r="B21" s="327"/>
      <c r="C21" s="332"/>
      <c r="D21" s="334"/>
      <c r="E21" s="333"/>
      <c r="F21" s="332"/>
      <c r="G21" s="332"/>
      <c r="H21" s="332"/>
    </row>
    <row r="22" spans="1:8" x14ac:dyDescent="0.2">
      <c r="A22" s="328" t="s">
        <v>36</v>
      </c>
      <c r="B22" s="327"/>
      <c r="C22" s="332"/>
      <c r="D22" s="334"/>
      <c r="E22" s="333"/>
      <c r="F22" s="332"/>
      <c r="G22" s="332"/>
      <c r="H22" s="332"/>
    </row>
    <row r="23" spans="1:8" x14ac:dyDescent="0.2">
      <c r="A23" s="328" t="s">
        <v>360</v>
      </c>
      <c r="B23" s="327"/>
      <c r="C23" s="332"/>
      <c r="D23" s="334"/>
      <c r="E23" s="333"/>
      <c r="F23" s="332"/>
      <c r="G23" s="332"/>
      <c r="H23" s="332"/>
    </row>
    <row r="24" spans="1:8" ht="12.75" thickBot="1" x14ac:dyDescent="0.25">
      <c r="A24" s="331"/>
      <c r="B24" s="330"/>
      <c r="C24" s="327"/>
      <c r="D24" s="329"/>
      <c r="E24" s="328"/>
      <c r="F24" s="327"/>
      <c r="G24" s="327"/>
      <c r="H24" s="327"/>
    </row>
    <row r="25" spans="1:8" ht="12.75" thickBot="1" x14ac:dyDescent="0.25">
      <c r="A25" s="326" t="s">
        <v>0</v>
      </c>
      <c r="B25" s="325"/>
      <c r="C25" s="324"/>
      <c r="D25" s="324"/>
      <c r="E25" s="324"/>
      <c r="F25" s="324"/>
      <c r="G25" s="324"/>
      <c r="H25" s="323"/>
    </row>
    <row r="26" spans="1:8" x14ac:dyDescent="0.2">
      <c r="A26" s="322" t="s">
        <v>436</v>
      </c>
    </row>
    <row r="27" spans="1:8" x14ac:dyDescent="0.2">
      <c r="A27" s="322" t="s">
        <v>437</v>
      </c>
    </row>
  </sheetData>
  <mergeCells count="3">
    <mergeCell ref="C4:H4"/>
    <mergeCell ref="B4:B5"/>
    <mergeCell ref="A4:A5"/>
  </mergeCells>
  <printOptions horizontalCentered="1"/>
  <pageMargins left="0.25" right="0.25" top="0.75" bottom="0.75" header="0.3" footer="0.3"/>
  <pageSetup paperSize="9" scale="81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5">
    <tabColor theme="9" tint="-0.249977111117893"/>
    <pageSetUpPr fitToPage="1"/>
  </sheetPr>
  <dimension ref="A1:V19"/>
  <sheetViews>
    <sheetView zoomScaleNormal="100" zoomScaleSheetLayoutView="100" zoomScalePageLayoutView="75" workbookViewId="0">
      <selection activeCell="A20" sqref="A20"/>
    </sheetView>
  </sheetViews>
  <sheetFormatPr baseColWidth="10" defaultColWidth="11.42578125" defaultRowHeight="12" x14ac:dyDescent="0.2"/>
  <cols>
    <col min="1" max="7" width="18.7109375" style="3" customWidth="1"/>
    <col min="8" max="9" width="18.7109375" style="93" customWidth="1"/>
    <col min="10" max="10" width="18.7109375" style="3" customWidth="1"/>
    <col min="11" max="12" width="7.140625" style="65" customWidth="1"/>
    <col min="13" max="16" width="7.140625" style="3" customWidth="1"/>
    <col min="17" max="16384" width="11.42578125" style="3"/>
  </cols>
  <sheetData>
    <row r="1" spans="1:22" s="115" customFormat="1" x14ac:dyDescent="0.2">
      <c r="A1" s="140" t="s">
        <v>438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22" s="5" customFormat="1" x14ac:dyDescent="0.2">
      <c r="A2" s="139" t="s">
        <v>341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s="122" customFormat="1" ht="12.75" thickBot="1" x14ac:dyDescent="0.25">
      <c r="K3" s="65"/>
      <c r="L3" s="65"/>
    </row>
    <row r="4" spans="1:22" s="85" customFormat="1" ht="12.75" customHeight="1" thickBot="1" x14ac:dyDescent="0.25">
      <c r="A4" s="600" t="s">
        <v>130</v>
      </c>
      <c r="B4" s="601"/>
      <c r="C4" s="601"/>
      <c r="D4" s="601"/>
      <c r="E4" s="602"/>
      <c r="F4" s="603" t="s">
        <v>131</v>
      </c>
      <c r="G4" s="604"/>
      <c r="H4" s="605"/>
      <c r="I4" s="605"/>
      <c r="J4" s="606"/>
      <c r="K4" s="597" t="s">
        <v>370</v>
      </c>
      <c r="L4" s="598"/>
      <c r="M4" s="599"/>
      <c r="N4" s="597" t="s">
        <v>371</v>
      </c>
      <c r="O4" s="598"/>
      <c r="P4" s="599"/>
    </row>
    <row r="5" spans="1:22" s="88" customFormat="1" ht="80.099999999999994" customHeight="1" thickBot="1" x14ac:dyDescent="0.25">
      <c r="A5" s="242" t="s">
        <v>87</v>
      </c>
      <c r="B5" s="243" t="s">
        <v>8</v>
      </c>
      <c r="C5" s="243" t="s">
        <v>81</v>
      </c>
      <c r="D5" s="244" t="s">
        <v>89</v>
      </c>
      <c r="E5" s="245" t="s">
        <v>111</v>
      </c>
      <c r="F5" s="242" t="s">
        <v>118</v>
      </c>
      <c r="G5" s="244" t="s">
        <v>119</v>
      </c>
      <c r="H5" s="244" t="s">
        <v>133</v>
      </c>
      <c r="I5" s="243" t="s">
        <v>134</v>
      </c>
      <c r="J5" s="246" t="s">
        <v>123</v>
      </c>
      <c r="K5" s="247" t="s">
        <v>120</v>
      </c>
      <c r="L5" s="248" t="s">
        <v>121</v>
      </c>
      <c r="M5" s="249" t="s">
        <v>122</v>
      </c>
      <c r="N5" s="247" t="s">
        <v>120</v>
      </c>
      <c r="O5" s="248" t="s">
        <v>121</v>
      </c>
      <c r="P5" s="249" t="s">
        <v>122</v>
      </c>
    </row>
    <row r="6" spans="1:22" x14ac:dyDescent="0.2">
      <c r="A6" s="83"/>
      <c r="B6" s="27"/>
      <c r="C6" s="27"/>
      <c r="D6" s="21"/>
      <c r="E6" s="22"/>
      <c r="F6" s="11"/>
      <c r="G6" s="107"/>
      <c r="H6" s="107"/>
      <c r="I6" s="108"/>
      <c r="J6" s="8"/>
      <c r="K6" s="109"/>
      <c r="L6" s="112"/>
      <c r="M6" s="14"/>
      <c r="N6" s="109"/>
      <c r="O6" s="112"/>
      <c r="P6" s="105"/>
    </row>
    <row r="7" spans="1:22" x14ac:dyDescent="0.2">
      <c r="A7" s="62"/>
      <c r="B7" s="11"/>
      <c r="C7" s="11" t="s">
        <v>80</v>
      </c>
      <c r="D7" s="24"/>
      <c r="E7" s="14"/>
      <c r="F7" s="11"/>
      <c r="G7" s="24"/>
      <c r="H7" s="24"/>
      <c r="I7" s="11"/>
      <c r="J7" s="8"/>
      <c r="K7" s="110"/>
      <c r="L7" s="113"/>
      <c r="M7" s="14"/>
      <c r="N7" s="110"/>
      <c r="O7" s="113"/>
      <c r="P7" s="105"/>
    </row>
    <row r="8" spans="1:22" x14ac:dyDescent="0.2">
      <c r="A8" s="62"/>
      <c r="B8" s="11"/>
      <c r="C8" s="11" t="s">
        <v>85</v>
      </c>
      <c r="D8" s="24"/>
      <c r="E8" s="14"/>
      <c r="F8" s="11"/>
      <c r="G8" s="24"/>
      <c r="H8" s="24"/>
      <c r="I8" s="11"/>
      <c r="J8" s="8"/>
      <c r="K8" s="110"/>
      <c r="L8" s="113"/>
      <c r="M8" s="14"/>
      <c r="N8" s="110"/>
      <c r="O8" s="113"/>
      <c r="P8" s="105"/>
    </row>
    <row r="9" spans="1:22" x14ac:dyDescent="0.2">
      <c r="A9" s="62"/>
      <c r="B9" s="11"/>
      <c r="C9" s="11" t="s">
        <v>82</v>
      </c>
      <c r="D9" s="24"/>
      <c r="E9" s="14"/>
      <c r="F9" s="11"/>
      <c r="G9" s="24"/>
      <c r="H9" s="24"/>
      <c r="I9" s="11"/>
      <c r="J9" s="8"/>
      <c r="K9" s="110"/>
      <c r="L9" s="113"/>
      <c r="M9" s="14"/>
      <c r="N9" s="110"/>
      <c r="O9" s="113"/>
      <c r="P9" s="105"/>
    </row>
    <row r="10" spans="1:22" x14ac:dyDescent="0.2">
      <c r="A10" s="62"/>
      <c r="B10" s="11"/>
      <c r="C10" s="11" t="s">
        <v>85</v>
      </c>
      <c r="D10" s="70"/>
      <c r="E10" s="72"/>
      <c r="F10" s="11"/>
      <c r="G10" s="70"/>
      <c r="H10" s="70"/>
      <c r="I10" s="69"/>
      <c r="J10" s="71"/>
      <c r="K10" s="110"/>
      <c r="L10" s="113"/>
      <c r="M10" s="14"/>
      <c r="N10" s="110"/>
      <c r="O10" s="113"/>
      <c r="P10" s="105"/>
    </row>
    <row r="11" spans="1:22" x14ac:dyDescent="0.2">
      <c r="A11" s="62"/>
      <c r="B11" s="11"/>
      <c r="C11" s="11" t="s">
        <v>83</v>
      </c>
      <c r="D11" s="24"/>
      <c r="E11" s="14"/>
      <c r="F11" s="11"/>
      <c r="G11" s="24"/>
      <c r="H11" s="24"/>
      <c r="I11" s="11"/>
      <c r="J11" s="8"/>
      <c r="K11" s="110"/>
      <c r="L11" s="113"/>
      <c r="M11" s="14"/>
      <c r="N11" s="110"/>
      <c r="O11" s="113"/>
      <c r="P11" s="105"/>
    </row>
    <row r="12" spans="1:22" x14ac:dyDescent="0.2">
      <c r="A12" s="62"/>
      <c r="B12" s="11"/>
      <c r="C12" s="11" t="s">
        <v>85</v>
      </c>
      <c r="D12" s="24"/>
      <c r="E12" s="14"/>
      <c r="F12" s="11"/>
      <c r="G12" s="24"/>
      <c r="H12" s="24"/>
      <c r="I12" s="11"/>
      <c r="J12" s="8"/>
      <c r="K12" s="110"/>
      <c r="L12" s="113"/>
      <c r="M12" s="14"/>
      <c r="N12" s="110"/>
      <c r="O12" s="113"/>
      <c r="P12" s="105"/>
    </row>
    <row r="13" spans="1:22" x14ac:dyDescent="0.2">
      <c r="A13" s="62"/>
      <c r="B13" s="11"/>
      <c r="C13" s="11" t="s">
        <v>84</v>
      </c>
      <c r="D13" s="24"/>
      <c r="E13" s="14"/>
      <c r="F13" s="11"/>
      <c r="G13" s="24"/>
      <c r="H13" s="24"/>
      <c r="I13" s="11"/>
      <c r="J13" s="8"/>
      <c r="K13" s="110"/>
      <c r="L13" s="113"/>
      <c r="M13" s="14"/>
      <c r="N13" s="110"/>
      <c r="O13" s="113"/>
      <c r="P13" s="105"/>
    </row>
    <row r="14" spans="1:22" x14ac:dyDescent="0.2">
      <c r="A14" s="62"/>
      <c r="B14" s="11"/>
      <c r="C14" s="11" t="s">
        <v>85</v>
      </c>
      <c r="D14" s="24"/>
      <c r="E14" s="14"/>
      <c r="F14" s="11"/>
      <c r="G14" s="24"/>
      <c r="H14" s="24"/>
      <c r="I14" s="11"/>
      <c r="J14" s="8"/>
      <c r="K14" s="110"/>
      <c r="L14" s="113"/>
      <c r="M14" s="14"/>
      <c r="N14" s="110"/>
      <c r="O14" s="113"/>
      <c r="P14" s="105"/>
    </row>
    <row r="15" spans="1:22" x14ac:dyDescent="0.2">
      <c r="A15" s="62"/>
      <c r="B15" s="11"/>
      <c r="C15" s="11" t="s">
        <v>88</v>
      </c>
      <c r="D15" s="24"/>
      <c r="E15" s="14"/>
      <c r="F15" s="11"/>
      <c r="G15" s="24"/>
      <c r="H15" s="24"/>
      <c r="I15" s="11"/>
      <c r="J15" s="8"/>
      <c r="K15" s="110"/>
      <c r="L15" s="113"/>
      <c r="M15" s="14"/>
      <c r="N15" s="110"/>
      <c r="O15" s="113"/>
      <c r="P15" s="105"/>
    </row>
    <row r="16" spans="1:22" x14ac:dyDescent="0.2">
      <c r="A16" s="62"/>
      <c r="B16" s="11"/>
      <c r="C16" s="11" t="s">
        <v>85</v>
      </c>
      <c r="D16" s="24"/>
      <c r="E16" s="14"/>
      <c r="F16" s="11"/>
      <c r="G16" s="24"/>
      <c r="H16" s="24"/>
      <c r="I16" s="11"/>
      <c r="J16" s="8"/>
      <c r="K16" s="110"/>
      <c r="L16" s="113"/>
      <c r="M16" s="14"/>
      <c r="N16" s="110"/>
      <c r="O16" s="113"/>
      <c r="P16" s="105"/>
    </row>
    <row r="17" spans="1:16" ht="12.75" thickBot="1" x14ac:dyDescent="0.25">
      <c r="A17" s="63"/>
      <c r="B17" s="92"/>
      <c r="C17" s="92"/>
      <c r="D17" s="87"/>
      <c r="E17" s="7"/>
      <c r="F17" s="11"/>
      <c r="G17" s="24"/>
      <c r="H17" s="87"/>
      <c r="I17" s="11"/>
      <c r="J17" s="8"/>
      <c r="K17" s="110"/>
      <c r="L17" s="113"/>
      <c r="M17" s="14"/>
      <c r="N17" s="110"/>
      <c r="O17" s="113"/>
      <c r="P17" s="105"/>
    </row>
    <row r="18" spans="1:16" ht="12.75" thickBot="1" x14ac:dyDescent="0.25">
      <c r="A18" s="84"/>
      <c r="B18" s="86"/>
      <c r="C18" s="86"/>
      <c r="D18" s="64"/>
      <c r="E18" s="17"/>
      <c r="F18" s="86"/>
      <c r="G18" s="64"/>
      <c r="H18" s="64"/>
      <c r="I18" s="66"/>
      <c r="J18" s="15"/>
      <c r="K18" s="111"/>
      <c r="L18" s="114"/>
      <c r="M18" s="17"/>
      <c r="N18" s="111"/>
      <c r="O18" s="114"/>
      <c r="P18" s="106"/>
    </row>
    <row r="19" spans="1:16" x14ac:dyDescent="0.2">
      <c r="A19" s="134" t="s">
        <v>412</v>
      </c>
    </row>
  </sheetData>
  <mergeCells count="4">
    <mergeCell ref="K4:M4"/>
    <mergeCell ref="N4:P4"/>
    <mergeCell ref="A4:E4"/>
    <mergeCell ref="F4:J4"/>
  </mergeCells>
  <printOptions horizontalCentered="1"/>
  <pageMargins left="0.25" right="0.25" top="0.75" bottom="0.75" header="0.3" footer="0.3"/>
  <pageSetup paperSize="9" scale="63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S19"/>
  <sheetViews>
    <sheetView zoomScaleNormal="100" zoomScaleSheetLayoutView="100" zoomScalePageLayoutView="85" workbookViewId="0">
      <selection activeCell="G26" sqref="G26"/>
    </sheetView>
  </sheetViews>
  <sheetFormatPr baseColWidth="10" defaultColWidth="11.42578125" defaultRowHeight="12" x14ac:dyDescent="0.2"/>
  <cols>
    <col min="1" max="6" width="18.7109375" style="138" customWidth="1"/>
    <col min="7" max="8" width="6.7109375" style="65" customWidth="1"/>
    <col min="9" max="9" width="6.7109375" style="138" customWidth="1"/>
    <col min="10" max="12" width="18.7109375" style="138" customWidth="1"/>
    <col min="13" max="13" width="18.28515625" style="138" customWidth="1"/>
    <col min="14" max="14" width="20.42578125" style="138" customWidth="1"/>
    <col min="15" max="16384" width="11.42578125" style="138"/>
  </cols>
  <sheetData>
    <row r="1" spans="1:19" s="115" customFormat="1" x14ac:dyDescent="0.2">
      <c r="A1" s="140" t="s">
        <v>439</v>
      </c>
      <c r="B1" s="140"/>
      <c r="C1" s="140"/>
      <c r="D1" s="140"/>
      <c r="E1" s="140"/>
      <c r="F1" s="140"/>
      <c r="G1" s="140"/>
      <c r="H1" s="140"/>
      <c r="J1" s="140"/>
      <c r="K1" s="140"/>
      <c r="L1" s="140"/>
      <c r="M1" s="140"/>
      <c r="N1" s="140"/>
    </row>
    <row r="2" spans="1:19" s="5" customFormat="1" x14ac:dyDescent="0.2">
      <c r="A2" s="139" t="s">
        <v>341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12.75" thickBot="1" x14ac:dyDescent="0.25"/>
    <row r="4" spans="1:19" s="85" customFormat="1" ht="12.75" customHeight="1" thickBot="1" x14ac:dyDescent="0.25">
      <c r="A4" s="600" t="s">
        <v>300</v>
      </c>
      <c r="B4" s="602"/>
      <c r="C4" s="601" t="s">
        <v>301</v>
      </c>
      <c r="D4" s="601"/>
      <c r="E4" s="603" t="s">
        <v>304</v>
      </c>
      <c r="F4" s="604"/>
      <c r="G4" s="604"/>
      <c r="H4" s="604"/>
      <c r="I4" s="606"/>
      <c r="J4" s="601" t="s">
        <v>305</v>
      </c>
      <c r="K4" s="601"/>
      <c r="L4" s="602"/>
      <c r="M4" s="561" t="s">
        <v>372</v>
      </c>
      <c r="N4" s="607" t="s">
        <v>373</v>
      </c>
    </row>
    <row r="5" spans="1:19" s="88" customFormat="1" ht="86.25" customHeight="1" thickBot="1" x14ac:dyDescent="0.25">
      <c r="A5" s="242" t="s">
        <v>86</v>
      </c>
      <c r="B5" s="250" t="s">
        <v>87</v>
      </c>
      <c r="C5" s="243" t="s">
        <v>303</v>
      </c>
      <c r="D5" s="251" t="s">
        <v>302</v>
      </c>
      <c r="E5" s="242" t="s">
        <v>308</v>
      </c>
      <c r="F5" s="244" t="s">
        <v>309</v>
      </c>
      <c r="G5" s="252" t="s">
        <v>310</v>
      </c>
      <c r="H5" s="252" t="s">
        <v>311</v>
      </c>
      <c r="I5" s="253" t="s">
        <v>20</v>
      </c>
      <c r="J5" s="242" t="s">
        <v>306</v>
      </c>
      <c r="K5" s="243" t="s">
        <v>307</v>
      </c>
      <c r="L5" s="254" t="s">
        <v>312</v>
      </c>
      <c r="M5" s="562"/>
      <c r="N5" s="608"/>
    </row>
    <row r="6" spans="1:19" x14ac:dyDescent="0.2">
      <c r="A6" s="83"/>
      <c r="B6" s="22"/>
      <c r="C6" s="108"/>
      <c r="D6" s="183"/>
      <c r="E6" s="62"/>
      <c r="F6" s="24"/>
      <c r="G6" s="24"/>
      <c r="H6" s="24"/>
      <c r="I6" s="68"/>
      <c r="J6" s="62"/>
      <c r="K6" s="108"/>
      <c r="L6" s="14"/>
      <c r="M6" s="14"/>
      <c r="N6" s="14"/>
    </row>
    <row r="7" spans="1:19" x14ac:dyDescent="0.2">
      <c r="A7" s="62"/>
      <c r="B7" s="14"/>
      <c r="C7" s="11"/>
      <c r="D7" s="184"/>
      <c r="E7" s="62"/>
      <c r="F7" s="24"/>
      <c r="G7" s="24"/>
      <c r="H7" s="24"/>
      <c r="I7" s="68"/>
      <c r="J7" s="62"/>
      <c r="K7" s="11"/>
      <c r="L7" s="14"/>
      <c r="M7" s="14"/>
      <c r="N7" s="14"/>
    </row>
    <row r="8" spans="1:19" x14ac:dyDescent="0.2">
      <c r="A8" s="62"/>
      <c r="B8" s="14"/>
      <c r="C8" s="11"/>
      <c r="D8" s="184"/>
      <c r="E8" s="62"/>
      <c r="F8" s="70"/>
      <c r="G8" s="70"/>
      <c r="H8" s="70"/>
      <c r="I8" s="97"/>
      <c r="J8" s="98"/>
      <c r="K8" s="11"/>
      <c r="L8" s="14"/>
      <c r="M8" s="14"/>
      <c r="N8" s="14"/>
    </row>
    <row r="9" spans="1:19" x14ac:dyDescent="0.2">
      <c r="A9" s="62"/>
      <c r="B9" s="14"/>
      <c r="C9" s="11"/>
      <c r="D9" s="184"/>
      <c r="E9" s="62"/>
      <c r="F9" s="24"/>
      <c r="G9" s="24"/>
      <c r="H9" s="24"/>
      <c r="I9" s="68"/>
      <c r="J9" s="62"/>
      <c r="K9" s="11"/>
      <c r="L9" s="14"/>
      <c r="M9" s="14"/>
      <c r="N9" s="14"/>
    </row>
    <row r="10" spans="1:19" x14ac:dyDescent="0.2">
      <c r="A10" s="62"/>
      <c r="B10" s="14"/>
      <c r="C10" s="69"/>
      <c r="D10" s="185"/>
      <c r="E10" s="98"/>
      <c r="F10" s="24"/>
      <c r="G10" s="24"/>
      <c r="H10" s="24"/>
      <c r="I10" s="68"/>
      <c r="J10" s="62"/>
      <c r="K10" s="69"/>
      <c r="L10" s="72"/>
      <c r="M10" s="72"/>
      <c r="N10" s="72"/>
    </row>
    <row r="11" spans="1:19" x14ac:dyDescent="0.2">
      <c r="A11" s="62"/>
      <c r="B11" s="14"/>
      <c r="C11" s="11"/>
      <c r="D11" s="184"/>
      <c r="E11" s="62"/>
      <c r="F11" s="24"/>
      <c r="G11" s="24"/>
      <c r="H11" s="24"/>
      <c r="I11" s="68"/>
      <c r="J11" s="62"/>
      <c r="K11" s="11"/>
      <c r="L11" s="14"/>
      <c r="M11" s="14"/>
      <c r="N11" s="14"/>
    </row>
    <row r="12" spans="1:19" x14ac:dyDescent="0.2">
      <c r="A12" s="62"/>
      <c r="B12" s="14"/>
      <c r="C12" s="11"/>
      <c r="D12" s="184"/>
      <c r="E12" s="62"/>
      <c r="F12" s="24"/>
      <c r="G12" s="24"/>
      <c r="H12" s="24"/>
      <c r="I12" s="68"/>
      <c r="J12" s="62"/>
      <c r="K12" s="11"/>
      <c r="L12" s="14"/>
      <c r="M12" s="14"/>
      <c r="N12" s="14"/>
    </row>
    <row r="13" spans="1:19" x14ac:dyDescent="0.2">
      <c r="A13" s="62"/>
      <c r="B13" s="14"/>
      <c r="C13" s="11"/>
      <c r="D13" s="184"/>
      <c r="E13" s="62"/>
      <c r="F13" s="24"/>
      <c r="G13" s="24"/>
      <c r="H13" s="24"/>
      <c r="I13" s="68"/>
      <c r="J13" s="62"/>
      <c r="K13" s="11"/>
      <c r="L13" s="14"/>
      <c r="M13" s="14"/>
      <c r="N13" s="14"/>
    </row>
    <row r="14" spans="1:19" x14ac:dyDescent="0.2">
      <c r="A14" s="62"/>
      <c r="B14" s="14"/>
      <c r="C14" s="11"/>
      <c r="D14" s="184"/>
      <c r="E14" s="62"/>
      <c r="F14" s="70"/>
      <c r="G14" s="70"/>
      <c r="H14" s="70"/>
      <c r="I14" s="97"/>
      <c r="J14" s="98"/>
      <c r="K14" s="11"/>
      <c r="L14" s="14"/>
      <c r="M14" s="14"/>
      <c r="N14" s="14"/>
    </row>
    <row r="15" spans="1:19" x14ac:dyDescent="0.2">
      <c r="A15" s="62"/>
      <c r="B15" s="14"/>
      <c r="C15" s="11"/>
      <c r="D15" s="184"/>
      <c r="E15" s="62"/>
      <c r="F15" s="24"/>
      <c r="G15" s="24"/>
      <c r="H15" s="24"/>
      <c r="I15" s="68"/>
      <c r="J15" s="62"/>
      <c r="K15" s="11"/>
      <c r="L15" s="14"/>
      <c r="M15" s="14"/>
      <c r="N15" s="14"/>
    </row>
    <row r="16" spans="1:19" x14ac:dyDescent="0.2">
      <c r="A16" s="62"/>
      <c r="B16" s="14"/>
      <c r="C16" s="11"/>
      <c r="D16" s="184"/>
      <c r="E16" s="62"/>
      <c r="F16" s="24"/>
      <c r="G16" s="24"/>
      <c r="H16" s="24"/>
      <c r="I16" s="68"/>
      <c r="J16" s="62"/>
      <c r="K16" s="11"/>
      <c r="L16" s="14"/>
      <c r="M16" s="14"/>
      <c r="N16" s="14"/>
    </row>
    <row r="17" spans="1:14" ht="12.75" thickBot="1" x14ac:dyDescent="0.25">
      <c r="A17" s="63"/>
      <c r="B17" s="7"/>
      <c r="C17" s="11"/>
      <c r="D17" s="184"/>
      <c r="E17" s="62"/>
      <c r="F17" s="24"/>
      <c r="G17" s="24"/>
      <c r="H17" s="24"/>
      <c r="I17" s="68"/>
      <c r="J17" s="62"/>
      <c r="K17" s="11"/>
      <c r="L17" s="14"/>
      <c r="M17" s="14"/>
      <c r="N17" s="14"/>
    </row>
    <row r="18" spans="1:14" ht="12.75" thickBot="1" x14ac:dyDescent="0.25">
      <c r="A18" s="84"/>
      <c r="B18" s="181"/>
      <c r="C18" s="66"/>
      <c r="D18" s="186"/>
      <c r="E18" s="187"/>
      <c r="F18" s="64"/>
      <c r="G18" s="64"/>
      <c r="H18" s="64"/>
      <c r="I18" s="182"/>
      <c r="J18" s="16"/>
      <c r="K18" s="66"/>
      <c r="L18" s="17"/>
      <c r="M18" s="17"/>
      <c r="N18" s="17"/>
    </row>
    <row r="19" spans="1:14" x14ac:dyDescent="0.2">
      <c r="A19" s="138" t="s">
        <v>440</v>
      </c>
    </row>
  </sheetData>
  <mergeCells count="6">
    <mergeCell ref="M4:M5"/>
    <mergeCell ref="N4:N5"/>
    <mergeCell ref="C4:D4"/>
    <mergeCell ref="A4:B4"/>
    <mergeCell ref="J4:L4"/>
    <mergeCell ref="E4:I4"/>
  </mergeCells>
  <printOptions horizontalCentered="1"/>
  <pageMargins left="0.25" right="0.25" top="0.75" bottom="0.75" header="0.3" footer="0.3"/>
  <pageSetup paperSize="9" scale="77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36"/>
  <sheetViews>
    <sheetView tabSelected="1" topLeftCell="A33" zoomScaleNormal="100" zoomScaleSheetLayoutView="100" workbookViewId="0">
      <selection activeCell="E36" sqref="E36"/>
    </sheetView>
  </sheetViews>
  <sheetFormatPr baseColWidth="10" defaultColWidth="2" defaultRowHeight="11.25" x14ac:dyDescent="0.2"/>
  <cols>
    <col min="1" max="1" width="24.85546875" style="90" customWidth="1"/>
    <col min="2" max="2" width="11.42578125" style="90" customWidth="1"/>
    <col min="3" max="3" width="15.140625" style="90" customWidth="1"/>
    <col min="4" max="4" width="11.28515625" style="90" customWidth="1"/>
    <col min="5" max="5" width="10.140625" style="90" customWidth="1"/>
    <col min="6" max="6" width="10.28515625" style="90" customWidth="1"/>
    <col min="7" max="7" width="13" style="90" customWidth="1"/>
    <col min="8" max="8" width="13.5703125" style="90" customWidth="1"/>
    <col min="9" max="9" width="7.140625" style="90" customWidth="1"/>
    <col min="10" max="10" width="8.5703125" style="90" customWidth="1"/>
    <col min="11" max="11" width="6.85546875" style="90" customWidth="1"/>
    <col min="12" max="12" width="9.7109375" style="90" customWidth="1"/>
    <col min="13" max="14" width="7" style="90" customWidth="1"/>
    <col min="15" max="15" width="8.7109375" style="90" customWidth="1"/>
    <col min="16" max="16384" width="2" style="90"/>
  </cols>
  <sheetData>
    <row r="1" spans="1:14" s="148" customFormat="1" ht="12.75" x14ac:dyDescent="0.2">
      <c r="A1" s="147" t="s">
        <v>340</v>
      </c>
      <c r="B1" s="192"/>
      <c r="C1" s="147"/>
    </row>
    <row r="2" spans="1:14" s="148" customFormat="1" ht="12" thickBot="1" x14ac:dyDescent="0.25">
      <c r="A2" s="149" t="s">
        <v>536</v>
      </c>
      <c r="B2" s="149"/>
      <c r="C2" s="149"/>
    </row>
    <row r="3" spans="1:14" s="89" customFormat="1" ht="22.5" customHeight="1" x14ac:dyDescent="0.2">
      <c r="A3" s="529" t="s">
        <v>287</v>
      </c>
      <c r="B3" s="529" t="s">
        <v>290</v>
      </c>
      <c r="C3" s="529" t="s">
        <v>289</v>
      </c>
      <c r="D3" s="532" t="s">
        <v>288</v>
      </c>
      <c r="E3" s="532" t="s">
        <v>260</v>
      </c>
      <c r="F3" s="532" t="s">
        <v>261</v>
      </c>
      <c r="G3" s="532" t="s">
        <v>124</v>
      </c>
      <c r="H3" s="532" t="s">
        <v>262</v>
      </c>
      <c r="I3" s="527">
        <v>2018</v>
      </c>
      <c r="J3" s="528"/>
      <c r="K3" s="527">
        <v>2019</v>
      </c>
      <c r="L3" s="528"/>
      <c r="M3" s="201">
        <v>2020</v>
      </c>
      <c r="N3" s="201">
        <v>2021</v>
      </c>
    </row>
    <row r="4" spans="1:14" s="89" customFormat="1" ht="22.5" x14ac:dyDescent="0.2">
      <c r="A4" s="530"/>
      <c r="B4" s="531"/>
      <c r="C4" s="530"/>
      <c r="D4" s="533"/>
      <c r="E4" s="533"/>
      <c r="F4" s="533"/>
      <c r="G4" s="533"/>
      <c r="H4" s="533"/>
      <c r="I4" s="443" t="s">
        <v>265</v>
      </c>
      <c r="J4" s="443" t="s">
        <v>263</v>
      </c>
      <c r="K4" s="443" t="s">
        <v>265</v>
      </c>
      <c r="L4" s="443" t="s">
        <v>264</v>
      </c>
      <c r="M4" s="443" t="s">
        <v>265</v>
      </c>
      <c r="N4" s="443" t="s">
        <v>265</v>
      </c>
    </row>
    <row r="5" spans="1:14" s="151" customFormat="1" ht="118.5" customHeight="1" x14ac:dyDescent="0.2">
      <c r="A5" s="514" t="s">
        <v>678</v>
      </c>
      <c r="B5" s="517" t="s">
        <v>557</v>
      </c>
      <c r="C5" s="519" t="s">
        <v>558</v>
      </c>
      <c r="D5" s="453" t="s">
        <v>559</v>
      </c>
      <c r="E5" s="454" t="s">
        <v>560</v>
      </c>
      <c r="F5" s="454" t="s">
        <v>561</v>
      </c>
      <c r="G5" s="455" t="s">
        <v>562</v>
      </c>
      <c r="H5" s="455" t="s">
        <v>563</v>
      </c>
      <c r="I5" s="456">
        <v>0.48</v>
      </c>
      <c r="J5" s="457" t="s">
        <v>557</v>
      </c>
      <c r="K5" s="456">
        <v>0.54</v>
      </c>
      <c r="L5" s="456">
        <v>0.314</v>
      </c>
      <c r="M5" s="456">
        <v>0.6</v>
      </c>
      <c r="N5" s="456">
        <v>0.66</v>
      </c>
    </row>
    <row r="6" spans="1:14" s="151" customFormat="1" ht="120.75" customHeight="1" x14ac:dyDescent="0.2">
      <c r="A6" s="515"/>
      <c r="B6" s="518"/>
      <c r="C6" s="519"/>
      <c r="D6" s="458" t="s">
        <v>564</v>
      </c>
      <c r="E6" s="455" t="s">
        <v>565</v>
      </c>
      <c r="F6" s="455" t="s">
        <v>566</v>
      </c>
      <c r="G6" s="455" t="s">
        <v>562</v>
      </c>
      <c r="H6" s="455" t="s">
        <v>563</v>
      </c>
      <c r="I6" s="456">
        <v>0.34</v>
      </c>
      <c r="J6" s="455" t="s">
        <v>557</v>
      </c>
      <c r="K6" s="456">
        <v>0.38</v>
      </c>
      <c r="L6" s="456">
        <v>0.192</v>
      </c>
      <c r="M6" s="456">
        <v>0.42</v>
      </c>
      <c r="N6" s="456">
        <v>0.49</v>
      </c>
    </row>
    <row r="7" spans="1:14" s="151" customFormat="1" ht="105" customHeight="1" x14ac:dyDescent="0.2">
      <c r="A7" s="515"/>
      <c r="B7" s="518"/>
      <c r="C7" s="519"/>
      <c r="D7" s="459" t="s">
        <v>567</v>
      </c>
      <c r="E7" s="455" t="s">
        <v>568</v>
      </c>
      <c r="F7" s="455" t="s">
        <v>569</v>
      </c>
      <c r="G7" s="455" t="s">
        <v>562</v>
      </c>
      <c r="H7" s="455" t="s">
        <v>563</v>
      </c>
      <c r="I7" s="456">
        <v>0.17</v>
      </c>
      <c r="J7" s="455" t="s">
        <v>557</v>
      </c>
      <c r="K7" s="456">
        <v>0.21</v>
      </c>
      <c r="L7" s="456">
        <v>7.8E-2</v>
      </c>
      <c r="M7" s="456">
        <v>0.26</v>
      </c>
      <c r="N7" s="456">
        <v>0.3</v>
      </c>
    </row>
    <row r="8" spans="1:14" s="151" customFormat="1" ht="94.5" customHeight="1" x14ac:dyDescent="0.2">
      <c r="A8" s="515"/>
      <c r="B8" s="518"/>
      <c r="C8" s="519"/>
      <c r="D8" s="458" t="s">
        <v>570</v>
      </c>
      <c r="E8" s="455" t="s">
        <v>571</v>
      </c>
      <c r="F8" s="455" t="s">
        <v>572</v>
      </c>
      <c r="G8" s="455" t="s">
        <v>562</v>
      </c>
      <c r="H8" s="455" t="s">
        <v>563</v>
      </c>
      <c r="I8" s="456">
        <v>0.14000000000000001</v>
      </c>
      <c r="J8" s="455" t="s">
        <v>557</v>
      </c>
      <c r="K8" s="456">
        <v>0.18</v>
      </c>
      <c r="L8" s="456">
        <v>0.12</v>
      </c>
      <c r="M8" s="456">
        <v>0.22</v>
      </c>
      <c r="N8" s="456">
        <v>0.26</v>
      </c>
    </row>
    <row r="9" spans="1:14" s="151" customFormat="1" ht="117.75" customHeight="1" thickBot="1" x14ac:dyDescent="0.25">
      <c r="A9" s="515"/>
      <c r="B9" s="518"/>
      <c r="C9" s="520"/>
      <c r="D9" s="460" t="s">
        <v>573</v>
      </c>
      <c r="E9" s="461" t="s">
        <v>557</v>
      </c>
      <c r="F9" s="461" t="s">
        <v>557</v>
      </c>
      <c r="G9" s="455" t="s">
        <v>562</v>
      </c>
      <c r="H9" s="455" t="s">
        <v>563</v>
      </c>
      <c r="I9" s="461" t="s">
        <v>557</v>
      </c>
      <c r="J9" s="461" t="e">
        <f>-H8+G8</f>
        <v>#VALUE!</v>
      </c>
      <c r="K9" s="462">
        <v>0.1</v>
      </c>
      <c r="L9" s="462">
        <v>0.1</v>
      </c>
      <c r="M9" s="461" t="s">
        <v>557</v>
      </c>
      <c r="N9" s="461" t="s">
        <v>557</v>
      </c>
    </row>
    <row r="10" spans="1:14" s="151" customFormat="1" ht="66" customHeight="1" x14ac:dyDescent="0.2">
      <c r="A10" s="515"/>
      <c r="B10" s="509" t="s">
        <v>557</v>
      </c>
      <c r="C10" s="521" t="s">
        <v>574</v>
      </c>
      <c r="D10" s="463" t="s">
        <v>575</v>
      </c>
      <c r="E10" s="464" t="s">
        <v>576</v>
      </c>
      <c r="F10" s="465" t="s">
        <v>577</v>
      </c>
      <c r="G10" s="464" t="s">
        <v>578</v>
      </c>
      <c r="H10" s="464" t="s">
        <v>578</v>
      </c>
      <c r="I10" s="466">
        <v>7.5</v>
      </c>
      <c r="J10" s="464">
        <v>11</v>
      </c>
      <c r="K10" s="466">
        <v>6.5</v>
      </c>
      <c r="L10" s="464">
        <v>7</v>
      </c>
      <c r="M10" s="466">
        <v>3.83</v>
      </c>
      <c r="N10" s="467">
        <v>2.16</v>
      </c>
    </row>
    <row r="11" spans="1:14" s="151" customFormat="1" ht="45.75" customHeight="1" x14ac:dyDescent="0.2">
      <c r="A11" s="515"/>
      <c r="B11" s="518"/>
      <c r="C11" s="522"/>
      <c r="D11" s="458" t="s">
        <v>579</v>
      </c>
      <c r="E11" s="455" t="s">
        <v>580</v>
      </c>
      <c r="F11" s="455" t="s">
        <v>581</v>
      </c>
      <c r="G11" s="455" t="s">
        <v>578</v>
      </c>
      <c r="H11" s="455" t="s">
        <v>578</v>
      </c>
      <c r="I11" s="456">
        <v>0.10199999999999999</v>
      </c>
      <c r="J11" s="456">
        <v>9.7000000000000003E-2</v>
      </c>
      <c r="K11" s="456">
        <v>9.7000000000000003E-2</v>
      </c>
      <c r="L11" s="456">
        <v>0.10299999999999999</v>
      </c>
      <c r="M11" s="456">
        <v>8.6999999999999994E-2</v>
      </c>
      <c r="N11" s="468">
        <v>8.2000000000000003E-2</v>
      </c>
    </row>
    <row r="12" spans="1:14" s="151" customFormat="1" ht="60.75" customHeight="1" thickBot="1" x14ac:dyDescent="0.25">
      <c r="A12" s="515"/>
      <c r="B12" s="510"/>
      <c r="C12" s="523"/>
      <c r="D12" s="469" t="s">
        <v>582</v>
      </c>
      <c r="E12" s="470" t="s">
        <v>583</v>
      </c>
      <c r="F12" s="470" t="s">
        <v>584</v>
      </c>
      <c r="G12" s="470" t="s">
        <v>585</v>
      </c>
      <c r="H12" s="470" t="s">
        <v>578</v>
      </c>
      <c r="I12" s="470">
        <v>97</v>
      </c>
      <c r="J12" s="470">
        <v>67</v>
      </c>
      <c r="K12" s="470">
        <v>94</v>
      </c>
      <c r="L12" s="470">
        <v>48</v>
      </c>
      <c r="M12" s="470">
        <v>88</v>
      </c>
      <c r="N12" s="471">
        <v>85</v>
      </c>
    </row>
    <row r="13" spans="1:14" s="151" customFormat="1" ht="71.25" customHeight="1" x14ac:dyDescent="0.2">
      <c r="A13" s="515"/>
      <c r="B13" s="509" t="s">
        <v>557</v>
      </c>
      <c r="C13" s="521" t="s">
        <v>586</v>
      </c>
      <c r="D13" s="472" t="s">
        <v>587</v>
      </c>
      <c r="E13" s="464" t="s">
        <v>588</v>
      </c>
      <c r="F13" s="464" t="s">
        <v>589</v>
      </c>
      <c r="G13" s="465" t="s">
        <v>590</v>
      </c>
      <c r="H13" s="464" t="s">
        <v>591</v>
      </c>
      <c r="I13" s="473">
        <v>0.89</v>
      </c>
      <c r="J13" s="464" t="s">
        <v>557</v>
      </c>
      <c r="K13" s="473">
        <v>0.9</v>
      </c>
      <c r="L13" s="473">
        <v>0.84340000000000004</v>
      </c>
      <c r="M13" s="473">
        <v>0.93</v>
      </c>
      <c r="N13" s="474">
        <v>0.93</v>
      </c>
    </row>
    <row r="14" spans="1:14" s="151" customFormat="1" ht="73.5" customHeight="1" x14ac:dyDescent="0.2">
      <c r="A14" s="515"/>
      <c r="B14" s="518"/>
      <c r="C14" s="522"/>
      <c r="D14" s="458" t="s">
        <v>592</v>
      </c>
      <c r="E14" s="455" t="s">
        <v>593</v>
      </c>
      <c r="F14" s="455" t="s">
        <v>594</v>
      </c>
      <c r="G14" s="475" t="s">
        <v>590</v>
      </c>
      <c r="H14" s="476" t="s">
        <v>591</v>
      </c>
      <c r="I14" s="456">
        <v>0.09</v>
      </c>
      <c r="J14" s="456">
        <v>0.11</v>
      </c>
      <c r="K14" s="456">
        <v>0.1</v>
      </c>
      <c r="L14" s="456">
        <v>0.04</v>
      </c>
      <c r="M14" s="456">
        <v>0.11</v>
      </c>
      <c r="N14" s="468">
        <v>0.12</v>
      </c>
    </row>
    <row r="15" spans="1:14" s="151" customFormat="1" ht="76.5" customHeight="1" thickBot="1" x14ac:dyDescent="0.25">
      <c r="A15" s="515"/>
      <c r="B15" s="510"/>
      <c r="C15" s="523"/>
      <c r="D15" s="477" t="s">
        <v>595</v>
      </c>
      <c r="E15" s="470" t="s">
        <v>596</v>
      </c>
      <c r="F15" s="470" t="s">
        <v>597</v>
      </c>
      <c r="G15" s="478" t="s">
        <v>590</v>
      </c>
      <c r="H15" s="479" t="s">
        <v>591</v>
      </c>
      <c r="I15" s="480">
        <v>0.18</v>
      </c>
      <c r="J15" s="470" t="s">
        <v>557</v>
      </c>
      <c r="K15" s="480">
        <v>0.19</v>
      </c>
      <c r="L15" s="480">
        <v>0.06</v>
      </c>
      <c r="M15" s="480">
        <v>0.2</v>
      </c>
      <c r="N15" s="481">
        <v>0.21</v>
      </c>
    </row>
    <row r="16" spans="1:14" s="151" customFormat="1" ht="55.5" customHeight="1" x14ac:dyDescent="0.2">
      <c r="A16" s="515"/>
      <c r="B16" s="524" t="s">
        <v>557</v>
      </c>
      <c r="C16" s="521" t="s">
        <v>598</v>
      </c>
      <c r="D16" s="482" t="s">
        <v>599</v>
      </c>
      <c r="E16" s="483" t="s">
        <v>600</v>
      </c>
      <c r="F16" s="483" t="s">
        <v>601</v>
      </c>
      <c r="G16" s="464" t="s">
        <v>578</v>
      </c>
      <c r="H16" s="464" t="s">
        <v>578</v>
      </c>
      <c r="I16" s="473">
        <v>0.15</v>
      </c>
      <c r="J16" s="473">
        <v>0.27400000000000002</v>
      </c>
      <c r="K16" s="473">
        <v>0.12</v>
      </c>
      <c r="L16" s="473">
        <v>0.26</v>
      </c>
      <c r="M16" s="473">
        <v>0.09</v>
      </c>
      <c r="N16" s="474">
        <v>7.0000000000000007E-2</v>
      </c>
    </row>
    <row r="17" spans="1:14" s="151" customFormat="1" ht="65.25" customHeight="1" thickBot="1" x14ac:dyDescent="0.25">
      <c r="A17" s="515"/>
      <c r="B17" s="525"/>
      <c r="C17" s="523"/>
      <c r="D17" s="484" t="s">
        <v>602</v>
      </c>
      <c r="E17" s="470" t="s">
        <v>603</v>
      </c>
      <c r="F17" s="470" t="s">
        <v>604</v>
      </c>
      <c r="G17" s="470" t="s">
        <v>578</v>
      </c>
      <c r="H17" s="470" t="s">
        <v>578</v>
      </c>
      <c r="I17" s="480">
        <v>0.27</v>
      </c>
      <c r="J17" s="480">
        <v>0.31900000000000001</v>
      </c>
      <c r="K17" s="480">
        <v>0.24</v>
      </c>
      <c r="L17" s="480">
        <v>0.27</v>
      </c>
      <c r="M17" s="480">
        <v>0.21</v>
      </c>
      <c r="N17" s="481">
        <v>0.18</v>
      </c>
    </row>
    <row r="18" spans="1:14" s="151" customFormat="1" ht="56.25" customHeight="1" x14ac:dyDescent="0.2">
      <c r="A18" s="515"/>
      <c r="B18" s="509" t="s">
        <v>557</v>
      </c>
      <c r="C18" s="521" t="s">
        <v>605</v>
      </c>
      <c r="D18" s="463" t="s">
        <v>606</v>
      </c>
      <c r="E18" s="464" t="s">
        <v>607</v>
      </c>
      <c r="F18" s="464" t="s">
        <v>608</v>
      </c>
      <c r="G18" s="464" t="s">
        <v>578</v>
      </c>
      <c r="H18" s="464" t="s">
        <v>578</v>
      </c>
      <c r="I18" s="473">
        <v>0.1</v>
      </c>
      <c r="J18" s="485">
        <v>3.3E-3</v>
      </c>
      <c r="K18" s="473">
        <v>0.09</v>
      </c>
      <c r="L18" s="473">
        <v>0.2492</v>
      </c>
      <c r="M18" s="473">
        <v>0.08</v>
      </c>
      <c r="N18" s="474">
        <v>7.0000000000000007E-2</v>
      </c>
    </row>
    <row r="19" spans="1:14" s="151" customFormat="1" ht="63.75" customHeight="1" x14ac:dyDescent="0.2">
      <c r="A19" s="515"/>
      <c r="B19" s="518"/>
      <c r="C19" s="522"/>
      <c r="D19" s="486" t="s">
        <v>609</v>
      </c>
      <c r="E19" s="455" t="s">
        <v>610</v>
      </c>
      <c r="F19" s="455" t="s">
        <v>611</v>
      </c>
      <c r="G19" s="455" t="s">
        <v>585</v>
      </c>
      <c r="H19" s="455" t="s">
        <v>578</v>
      </c>
      <c r="I19" s="456">
        <v>0.82</v>
      </c>
      <c r="J19" s="456">
        <v>0.84599999999999997</v>
      </c>
      <c r="K19" s="456">
        <v>0.83</v>
      </c>
      <c r="L19" s="456">
        <v>0.92</v>
      </c>
      <c r="M19" s="456">
        <v>0.84</v>
      </c>
      <c r="N19" s="468">
        <v>0.85</v>
      </c>
    </row>
    <row r="20" spans="1:14" s="151" customFormat="1" ht="51.75" customHeight="1" x14ac:dyDescent="0.2">
      <c r="A20" s="515"/>
      <c r="B20" s="518"/>
      <c r="C20" s="522"/>
      <c r="D20" s="486" t="s">
        <v>612</v>
      </c>
      <c r="E20" s="455" t="s">
        <v>613</v>
      </c>
      <c r="F20" s="455" t="s">
        <v>614</v>
      </c>
      <c r="G20" s="455" t="s">
        <v>615</v>
      </c>
      <c r="H20" s="455" t="s">
        <v>578</v>
      </c>
      <c r="I20" s="456">
        <v>0.11</v>
      </c>
      <c r="J20" s="456">
        <v>0.1</v>
      </c>
      <c r="K20" s="456">
        <v>0.1</v>
      </c>
      <c r="L20" s="456">
        <v>0.06</v>
      </c>
      <c r="M20" s="456">
        <v>0.09</v>
      </c>
      <c r="N20" s="468">
        <v>0.08</v>
      </c>
    </row>
    <row r="21" spans="1:14" s="151" customFormat="1" ht="63" customHeight="1" x14ac:dyDescent="0.2">
      <c r="A21" s="515"/>
      <c r="B21" s="518"/>
      <c r="C21" s="522"/>
      <c r="D21" s="458" t="s">
        <v>616</v>
      </c>
      <c r="E21" s="150" t="s">
        <v>617</v>
      </c>
      <c r="F21" s="150" t="s">
        <v>618</v>
      </c>
      <c r="G21" s="455" t="s">
        <v>578</v>
      </c>
      <c r="H21" s="455" t="s">
        <v>578</v>
      </c>
      <c r="I21" s="456">
        <v>0.29799999999999999</v>
      </c>
      <c r="J21" s="455" t="s">
        <v>557</v>
      </c>
      <c r="K21" s="456">
        <v>0.31</v>
      </c>
      <c r="L21" s="455" t="s">
        <v>557</v>
      </c>
      <c r="M21" s="456">
        <v>0.32200000000000001</v>
      </c>
      <c r="N21" s="468">
        <v>0.33400000000000002</v>
      </c>
    </row>
    <row r="22" spans="1:14" s="151" customFormat="1" ht="66.75" customHeight="1" x14ac:dyDescent="0.2">
      <c r="A22" s="515"/>
      <c r="B22" s="518"/>
      <c r="C22" s="522"/>
      <c r="D22" s="458" t="s">
        <v>619</v>
      </c>
      <c r="E22" s="455" t="s">
        <v>620</v>
      </c>
      <c r="F22" s="455" t="s">
        <v>621</v>
      </c>
      <c r="G22" s="455" t="s">
        <v>585</v>
      </c>
      <c r="H22" s="455" t="s">
        <v>578</v>
      </c>
      <c r="I22" s="457">
        <v>0.441</v>
      </c>
      <c r="J22" s="455" t="s">
        <v>557</v>
      </c>
      <c r="K22" s="456">
        <v>0.496</v>
      </c>
      <c r="L22" s="455" t="s">
        <v>557</v>
      </c>
      <c r="M22" s="456">
        <v>0.55000000000000004</v>
      </c>
      <c r="N22" s="487">
        <v>0.60299999999999998</v>
      </c>
    </row>
    <row r="23" spans="1:14" s="151" customFormat="1" ht="66" customHeight="1" thickBot="1" x14ac:dyDescent="0.25">
      <c r="A23" s="515"/>
      <c r="B23" s="518"/>
      <c r="C23" s="522"/>
      <c r="D23" s="486" t="s">
        <v>622</v>
      </c>
      <c r="E23" s="461" t="s">
        <v>623</v>
      </c>
      <c r="F23" s="461" t="s">
        <v>624</v>
      </c>
      <c r="G23" s="461" t="s">
        <v>578</v>
      </c>
      <c r="H23" s="461" t="s">
        <v>578</v>
      </c>
      <c r="I23" s="462">
        <v>0.04</v>
      </c>
      <c r="J23" s="462">
        <v>2.5999999999999999E-2</v>
      </c>
      <c r="K23" s="462">
        <v>0.04</v>
      </c>
      <c r="L23" s="462">
        <v>0</v>
      </c>
      <c r="M23" s="462">
        <v>0.04</v>
      </c>
      <c r="N23" s="488">
        <v>0.04</v>
      </c>
    </row>
    <row r="24" spans="1:14" s="151" customFormat="1" ht="66.75" customHeight="1" x14ac:dyDescent="0.2">
      <c r="A24" s="515"/>
      <c r="B24" s="509" t="s">
        <v>557</v>
      </c>
      <c r="C24" s="507" t="s">
        <v>625</v>
      </c>
      <c r="D24" s="472" t="s">
        <v>626</v>
      </c>
      <c r="E24" s="464" t="s">
        <v>627</v>
      </c>
      <c r="F24" s="464" t="s">
        <v>628</v>
      </c>
      <c r="G24" s="464" t="s">
        <v>585</v>
      </c>
      <c r="H24" s="464" t="s">
        <v>578</v>
      </c>
      <c r="I24" s="473">
        <v>0.8</v>
      </c>
      <c r="J24" s="473">
        <v>0.78449999999999998</v>
      </c>
      <c r="K24" s="473">
        <v>0.8</v>
      </c>
      <c r="L24" s="473">
        <v>0.82</v>
      </c>
      <c r="M24" s="473">
        <v>0.8</v>
      </c>
      <c r="N24" s="474">
        <v>0.82</v>
      </c>
    </row>
    <row r="25" spans="1:14" s="151" customFormat="1" ht="73.5" customHeight="1" thickBot="1" x14ac:dyDescent="0.25">
      <c r="A25" s="515"/>
      <c r="B25" s="510"/>
      <c r="C25" s="511"/>
      <c r="D25" s="477" t="s">
        <v>629</v>
      </c>
      <c r="E25" s="470" t="s">
        <v>630</v>
      </c>
      <c r="F25" s="470" t="s">
        <v>631</v>
      </c>
      <c r="G25" s="470" t="s">
        <v>585</v>
      </c>
      <c r="H25" s="470" t="s">
        <v>578</v>
      </c>
      <c r="I25" s="480">
        <v>0.55000000000000004</v>
      </c>
      <c r="J25" s="480">
        <v>0.56999999999999995</v>
      </c>
      <c r="K25" s="480">
        <v>0.56000000000000005</v>
      </c>
      <c r="L25" s="480">
        <v>0.59</v>
      </c>
      <c r="M25" s="480">
        <v>0.56999999999999995</v>
      </c>
      <c r="N25" s="481">
        <v>0.57999999999999996</v>
      </c>
    </row>
    <row r="26" spans="1:14" s="151" customFormat="1" ht="60.75" customHeight="1" x14ac:dyDescent="0.2">
      <c r="A26" s="515"/>
      <c r="B26" s="524" t="s">
        <v>557</v>
      </c>
      <c r="C26" s="507" t="s">
        <v>632</v>
      </c>
      <c r="D26" s="472" t="s">
        <v>633</v>
      </c>
      <c r="E26" s="464" t="s">
        <v>634</v>
      </c>
      <c r="F26" s="464" t="s">
        <v>635</v>
      </c>
      <c r="G26" s="489" t="s">
        <v>636</v>
      </c>
      <c r="H26" s="490" t="s">
        <v>637</v>
      </c>
      <c r="I26" s="473">
        <v>0.25</v>
      </c>
      <c r="J26" s="464" t="s">
        <v>557</v>
      </c>
      <c r="K26" s="473">
        <v>0.23</v>
      </c>
      <c r="L26" s="464" t="s">
        <v>557</v>
      </c>
      <c r="M26" s="473">
        <v>0.21</v>
      </c>
      <c r="N26" s="474">
        <v>0.19</v>
      </c>
    </row>
    <row r="27" spans="1:14" s="151" customFormat="1" ht="74.25" customHeight="1" x14ac:dyDescent="0.2">
      <c r="A27" s="515"/>
      <c r="B27" s="526"/>
      <c r="C27" s="508"/>
      <c r="D27" s="458" t="s">
        <v>638</v>
      </c>
      <c r="E27" s="455" t="s">
        <v>639</v>
      </c>
      <c r="F27" s="455" t="s">
        <v>640</v>
      </c>
      <c r="G27" s="150" t="s">
        <v>636</v>
      </c>
      <c r="H27" s="455" t="s">
        <v>637</v>
      </c>
      <c r="I27" s="456">
        <v>7.4999999999999997E-2</v>
      </c>
      <c r="J27" s="455" t="s">
        <v>557</v>
      </c>
      <c r="K27" s="456">
        <v>7.0000000000000007E-2</v>
      </c>
      <c r="L27" s="455" t="s">
        <v>557</v>
      </c>
      <c r="M27" s="456">
        <v>6.5000000000000002E-2</v>
      </c>
      <c r="N27" s="468">
        <v>0.06</v>
      </c>
    </row>
    <row r="28" spans="1:14" s="151" customFormat="1" ht="113.25" customHeight="1" thickBot="1" x14ac:dyDescent="0.25">
      <c r="A28" s="515"/>
      <c r="B28" s="525"/>
      <c r="C28" s="511"/>
      <c r="D28" s="477" t="s">
        <v>641</v>
      </c>
      <c r="E28" s="470" t="s">
        <v>557</v>
      </c>
      <c r="F28" s="470" t="s">
        <v>642</v>
      </c>
      <c r="G28" s="152" t="s">
        <v>636</v>
      </c>
      <c r="H28" s="470" t="s">
        <v>637</v>
      </c>
      <c r="I28" s="480">
        <v>0.3</v>
      </c>
      <c r="J28" s="470" t="s">
        <v>557</v>
      </c>
      <c r="K28" s="480">
        <v>0.3</v>
      </c>
      <c r="L28" s="470" t="s">
        <v>557</v>
      </c>
      <c r="M28" s="480">
        <v>0.3</v>
      </c>
      <c r="N28" s="481">
        <v>0.3</v>
      </c>
    </row>
    <row r="29" spans="1:14" s="151" customFormat="1" ht="90.75" customHeight="1" x14ac:dyDescent="0.2">
      <c r="A29" s="515"/>
      <c r="B29" s="509" t="s">
        <v>557</v>
      </c>
      <c r="C29" s="507" t="s">
        <v>643</v>
      </c>
      <c r="D29" s="491" t="s">
        <v>644</v>
      </c>
      <c r="E29" s="465" t="s">
        <v>645</v>
      </c>
      <c r="F29" s="465" t="s">
        <v>646</v>
      </c>
      <c r="G29" s="464" t="s">
        <v>647</v>
      </c>
      <c r="H29" s="464" t="s">
        <v>648</v>
      </c>
      <c r="I29" s="473">
        <v>0.13</v>
      </c>
      <c r="J29" s="464" t="s">
        <v>557</v>
      </c>
      <c r="K29" s="473">
        <v>0.13</v>
      </c>
      <c r="L29" s="473">
        <v>0.19</v>
      </c>
      <c r="M29" s="473">
        <v>0.14000000000000001</v>
      </c>
      <c r="N29" s="474">
        <v>0.15</v>
      </c>
    </row>
    <row r="30" spans="1:14" s="151" customFormat="1" ht="72" customHeight="1" thickBot="1" x14ac:dyDescent="0.25">
      <c r="A30" s="515"/>
      <c r="B30" s="518"/>
      <c r="C30" s="508"/>
      <c r="D30" s="492" t="s">
        <v>649</v>
      </c>
      <c r="E30" s="493" t="s">
        <v>650</v>
      </c>
      <c r="F30" s="461" t="s">
        <v>651</v>
      </c>
      <c r="G30" s="461" t="s">
        <v>652</v>
      </c>
      <c r="H30" s="461" t="s">
        <v>653</v>
      </c>
      <c r="I30" s="462">
        <v>1.6E-2</v>
      </c>
      <c r="J30" s="461" t="s">
        <v>557</v>
      </c>
      <c r="K30" s="462">
        <v>2.3E-2</v>
      </c>
      <c r="L30" s="462">
        <v>2.5999999999999999E-2</v>
      </c>
      <c r="M30" s="462">
        <v>2.3E-2</v>
      </c>
      <c r="N30" s="488">
        <v>2.5999999999999999E-2</v>
      </c>
    </row>
    <row r="31" spans="1:14" s="151" customFormat="1" ht="84.75" customHeight="1" x14ac:dyDescent="0.2">
      <c r="A31" s="515"/>
      <c r="B31" s="509" t="s">
        <v>557</v>
      </c>
      <c r="C31" s="507" t="s">
        <v>654</v>
      </c>
      <c r="D31" s="482" t="s">
        <v>655</v>
      </c>
      <c r="E31" s="464" t="s">
        <v>557</v>
      </c>
      <c r="F31" s="464" t="s">
        <v>656</v>
      </c>
      <c r="G31" s="464" t="s">
        <v>657</v>
      </c>
      <c r="H31" s="464" t="s">
        <v>658</v>
      </c>
      <c r="I31" s="473">
        <v>0.02</v>
      </c>
      <c r="J31" s="473">
        <v>2.47E-2</v>
      </c>
      <c r="K31" s="473">
        <v>2.1999999999999999E-2</v>
      </c>
      <c r="L31" s="464" t="s">
        <v>557</v>
      </c>
      <c r="M31" s="473">
        <v>2.5999999999999999E-2</v>
      </c>
      <c r="N31" s="474">
        <v>8.5999999999999993E-2</v>
      </c>
    </row>
    <row r="32" spans="1:14" s="151" customFormat="1" ht="83.25" customHeight="1" thickBot="1" x14ac:dyDescent="0.25">
      <c r="A32" s="515"/>
      <c r="B32" s="510"/>
      <c r="C32" s="511"/>
      <c r="D32" s="494" t="s">
        <v>659</v>
      </c>
      <c r="E32" s="470" t="s">
        <v>557</v>
      </c>
      <c r="F32" s="470" t="s">
        <v>660</v>
      </c>
      <c r="G32" s="479" t="s">
        <v>657</v>
      </c>
      <c r="H32" s="479" t="s">
        <v>658</v>
      </c>
      <c r="I32" s="470">
        <v>0</v>
      </c>
      <c r="J32" s="470">
        <v>4</v>
      </c>
      <c r="K32" s="470">
        <v>1</v>
      </c>
      <c r="L32" s="470">
        <v>2</v>
      </c>
      <c r="M32" s="470">
        <v>2</v>
      </c>
      <c r="N32" s="471">
        <v>2</v>
      </c>
    </row>
    <row r="33" spans="1:14" s="151" customFormat="1" ht="143.25" customHeight="1" thickBot="1" x14ac:dyDescent="0.25">
      <c r="A33" s="515"/>
      <c r="B33" s="495" t="s">
        <v>557</v>
      </c>
      <c r="C33" s="496" t="s">
        <v>661</v>
      </c>
      <c r="D33" s="497" t="s">
        <v>662</v>
      </c>
      <c r="E33" s="498" t="s">
        <v>663</v>
      </c>
      <c r="F33" s="495" t="s">
        <v>664</v>
      </c>
      <c r="G33" s="495" t="s">
        <v>665</v>
      </c>
      <c r="H33" s="495" t="s">
        <v>665</v>
      </c>
      <c r="I33" s="499">
        <v>0.26</v>
      </c>
      <c r="J33" s="495" t="s">
        <v>557</v>
      </c>
      <c r="K33" s="499">
        <v>0.28000000000000003</v>
      </c>
      <c r="L33" s="495" t="s">
        <v>557</v>
      </c>
      <c r="M33" s="499">
        <v>0.28999999999999998</v>
      </c>
      <c r="N33" s="500">
        <v>0.31</v>
      </c>
    </row>
    <row r="34" spans="1:14" s="151" customFormat="1" ht="68.25" thickBot="1" x14ac:dyDescent="0.25">
      <c r="A34" s="515"/>
      <c r="B34" s="495" t="s">
        <v>557</v>
      </c>
      <c r="C34" s="501" t="s">
        <v>666</v>
      </c>
      <c r="D34" s="502" t="s">
        <v>667</v>
      </c>
      <c r="E34" s="498" t="s">
        <v>668</v>
      </c>
      <c r="F34" s="498" t="s">
        <v>669</v>
      </c>
      <c r="G34" s="495" t="s">
        <v>670</v>
      </c>
      <c r="H34" s="495" t="s">
        <v>665</v>
      </c>
      <c r="I34" s="499">
        <v>0.38</v>
      </c>
      <c r="J34" s="499">
        <v>0.36</v>
      </c>
      <c r="K34" s="499">
        <v>0.39</v>
      </c>
      <c r="L34" s="495" t="s">
        <v>557</v>
      </c>
      <c r="M34" s="499">
        <v>0.4</v>
      </c>
      <c r="N34" s="500">
        <v>0.42</v>
      </c>
    </row>
    <row r="35" spans="1:14" s="151" customFormat="1" ht="74.25" customHeight="1" x14ac:dyDescent="0.2">
      <c r="A35" s="515"/>
      <c r="B35" s="509" t="s">
        <v>557</v>
      </c>
      <c r="C35" s="512" t="s">
        <v>671</v>
      </c>
      <c r="D35" s="472" t="s">
        <v>672</v>
      </c>
      <c r="E35" s="464" t="s">
        <v>557</v>
      </c>
      <c r="F35" s="464" t="s">
        <v>557</v>
      </c>
      <c r="G35" s="464" t="s">
        <v>557</v>
      </c>
      <c r="H35" s="464" t="s">
        <v>557</v>
      </c>
      <c r="I35" s="464" t="s">
        <v>557</v>
      </c>
      <c r="J35" s="464" t="s">
        <v>557</v>
      </c>
      <c r="K35" s="464" t="s">
        <v>557</v>
      </c>
      <c r="L35" s="464" t="s">
        <v>557</v>
      </c>
      <c r="M35" s="464" t="s">
        <v>557</v>
      </c>
      <c r="N35" s="503" t="s">
        <v>557</v>
      </c>
    </row>
    <row r="36" spans="1:14" s="151" customFormat="1" ht="56.25" customHeight="1" thickBot="1" x14ac:dyDescent="0.25">
      <c r="A36" s="516"/>
      <c r="B36" s="510"/>
      <c r="C36" s="513"/>
      <c r="D36" s="484" t="s">
        <v>673</v>
      </c>
      <c r="E36" s="470" t="s">
        <v>674</v>
      </c>
      <c r="F36" s="470" t="s">
        <v>675</v>
      </c>
      <c r="G36" s="470" t="s">
        <v>676</v>
      </c>
      <c r="H36" s="470" t="s">
        <v>677</v>
      </c>
      <c r="I36" s="470">
        <v>0.64</v>
      </c>
      <c r="J36" s="470" t="s">
        <v>557</v>
      </c>
      <c r="K36" s="470">
        <v>0.64</v>
      </c>
      <c r="L36" s="470">
        <v>0.51</v>
      </c>
      <c r="M36" s="470">
        <v>0.66</v>
      </c>
      <c r="N36" s="471">
        <v>0.66</v>
      </c>
    </row>
  </sheetData>
  <mergeCells count="31">
    <mergeCell ref="I3:J3"/>
    <mergeCell ref="K3:L3"/>
    <mergeCell ref="C3:C4"/>
    <mergeCell ref="B3:B4"/>
    <mergeCell ref="A3:A4"/>
    <mergeCell ref="D3:D4"/>
    <mergeCell ref="E3:E4"/>
    <mergeCell ref="F3:F4"/>
    <mergeCell ref="G3:G4"/>
    <mergeCell ref="H3:H4"/>
    <mergeCell ref="A5:A36"/>
    <mergeCell ref="B5:B9"/>
    <mergeCell ref="C5:C9"/>
    <mergeCell ref="B10:B12"/>
    <mergeCell ref="C10:C12"/>
    <mergeCell ref="B13:B15"/>
    <mergeCell ref="C13:C15"/>
    <mergeCell ref="B16:B17"/>
    <mergeCell ref="C16:C17"/>
    <mergeCell ref="B18:B23"/>
    <mergeCell ref="C18:C23"/>
    <mergeCell ref="B24:B25"/>
    <mergeCell ref="C24:C25"/>
    <mergeCell ref="B26:B28"/>
    <mergeCell ref="C26:C28"/>
    <mergeCell ref="B29:B30"/>
    <mergeCell ref="C29:C30"/>
    <mergeCell ref="B31:B32"/>
    <mergeCell ref="C31:C32"/>
    <mergeCell ref="B35:B36"/>
    <mergeCell ref="C35:C3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&amp;C&amp;"Arial,Negrita"&amp;18PROYECTO DE PRESUPUESTO 2021</oddHeader>
    <oddFooter>&amp;L&amp;"Arial,Negrita"&amp;8PROYECTO DE PRESUPUESTO PARA EL AÑO FISCAL 2020
INFORMACIÓN PARA LA COMISIÓN DE PRESUPUESTO Y CUENTA GENERAL DE LA REPÚBLICA DEL CONGRESO DE LA REPÚBLICA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21"/>
  <sheetViews>
    <sheetView zoomScaleNormal="100" workbookViewId="0">
      <selection activeCell="G25" sqref="G25"/>
    </sheetView>
  </sheetViews>
  <sheetFormatPr baseColWidth="10" defaultColWidth="11.28515625" defaultRowHeight="12.75" x14ac:dyDescent="0.2"/>
  <cols>
    <col min="1" max="1" width="63.42578125" customWidth="1"/>
    <col min="2" max="2" width="13.140625" customWidth="1"/>
    <col min="3" max="3" width="13" customWidth="1"/>
    <col min="4" max="4" width="14.5703125" customWidth="1"/>
    <col min="5" max="5" width="17.85546875" customWidth="1"/>
    <col min="8" max="8" width="15.5703125" customWidth="1"/>
  </cols>
  <sheetData>
    <row r="1" spans="1:9" x14ac:dyDescent="0.2">
      <c r="A1" s="147" t="s">
        <v>399</v>
      </c>
    </row>
    <row r="2" spans="1:9" x14ac:dyDescent="0.2">
      <c r="A2" s="149" t="s">
        <v>517</v>
      </c>
    </row>
    <row r="3" spans="1:9" s="188" customFormat="1" ht="28.35" customHeight="1" x14ac:dyDescent="0.2">
      <c r="A3" s="199" t="s">
        <v>322</v>
      </c>
      <c r="B3" s="200">
        <v>2019</v>
      </c>
      <c r="C3" s="200">
        <v>2020</v>
      </c>
      <c r="D3" s="200">
        <v>2021</v>
      </c>
    </row>
    <row r="4" spans="1:9" s="192" customFormat="1" x14ac:dyDescent="0.2">
      <c r="A4" s="191" t="s">
        <v>319</v>
      </c>
      <c r="B4" s="357">
        <v>143044979</v>
      </c>
      <c r="C4" s="357">
        <v>220144850</v>
      </c>
      <c r="D4" s="357">
        <v>164873535</v>
      </c>
      <c r="E4" s="196"/>
      <c r="F4" s="196"/>
      <c r="G4" s="196"/>
      <c r="H4" s="196"/>
      <c r="I4" s="196"/>
    </row>
    <row r="5" spans="1:9" s="192" customFormat="1" x14ac:dyDescent="0.2">
      <c r="A5" s="191" t="s">
        <v>320</v>
      </c>
      <c r="B5" s="357">
        <v>227214858</v>
      </c>
      <c r="C5" s="357">
        <v>307046944</v>
      </c>
      <c r="D5" s="357">
        <v>248821300</v>
      </c>
      <c r="E5" s="196"/>
      <c r="F5" s="196"/>
      <c r="G5" s="196"/>
      <c r="H5" s="196"/>
      <c r="I5" s="196"/>
    </row>
    <row r="6" spans="1:9" s="192" customFormat="1" x14ac:dyDescent="0.2">
      <c r="A6" s="191" t="s">
        <v>321</v>
      </c>
      <c r="B6" s="357">
        <v>1446576412</v>
      </c>
      <c r="C6" s="357">
        <v>1448242476</v>
      </c>
      <c r="D6" s="357">
        <v>1325134336</v>
      </c>
      <c r="E6" s="196"/>
      <c r="F6" s="196"/>
      <c r="G6" s="196"/>
      <c r="H6" s="196"/>
      <c r="I6" s="196"/>
    </row>
    <row r="7" spans="1:9" s="196" customFormat="1" ht="28.35" customHeight="1" x14ac:dyDescent="0.2">
      <c r="A7" s="197" t="s">
        <v>313</v>
      </c>
      <c r="B7" s="368">
        <f>SUM(B4:B6)</f>
        <v>1816836249</v>
      </c>
      <c r="C7" s="368">
        <f t="shared" ref="C7" si="0">SUM(C4:C6)</f>
        <v>1975434270</v>
      </c>
      <c r="D7" s="368">
        <f>SUM(D4:D6)</f>
        <v>1738829171</v>
      </c>
    </row>
    <row r="9" spans="1:9" s="188" customFormat="1" ht="28.35" customHeight="1" x14ac:dyDescent="0.2">
      <c r="A9" s="199" t="s">
        <v>323</v>
      </c>
      <c r="B9" s="200">
        <v>2019</v>
      </c>
      <c r="C9" s="200" t="s">
        <v>400</v>
      </c>
      <c r="D9" s="200" t="s">
        <v>401</v>
      </c>
    </row>
    <row r="10" spans="1:9" s="192" customFormat="1" x14ac:dyDescent="0.2">
      <c r="A10" s="191" t="s">
        <v>319</v>
      </c>
      <c r="B10" s="357">
        <v>215522318</v>
      </c>
      <c r="C10" s="357">
        <v>192130043</v>
      </c>
      <c r="D10" s="191"/>
    </row>
    <row r="11" spans="1:9" s="192" customFormat="1" x14ac:dyDescent="0.2">
      <c r="A11" s="191" t="s">
        <v>320</v>
      </c>
      <c r="B11" s="357">
        <v>307774353</v>
      </c>
      <c r="C11" s="357">
        <v>379525811</v>
      </c>
      <c r="D11" s="191"/>
    </row>
    <row r="12" spans="1:9" s="192" customFormat="1" x14ac:dyDescent="0.2">
      <c r="A12" s="191" t="s">
        <v>321</v>
      </c>
      <c r="B12" s="357">
        <v>1844659089</v>
      </c>
      <c r="C12" s="357">
        <v>1933364600</v>
      </c>
      <c r="D12" s="191"/>
    </row>
    <row r="13" spans="1:9" s="196" customFormat="1" ht="28.35" customHeight="1" x14ac:dyDescent="0.2">
      <c r="A13" s="197" t="s">
        <v>314</v>
      </c>
      <c r="B13" s="368">
        <f>SUM(B10:B12)</f>
        <v>2367955760</v>
      </c>
      <c r="C13" s="368">
        <f t="shared" ref="C13:D13" si="1">SUM(C10:C12)</f>
        <v>2505020454</v>
      </c>
      <c r="D13" s="368">
        <f t="shared" si="1"/>
        <v>0</v>
      </c>
    </row>
    <row r="15" spans="1:9" s="188" customFormat="1" ht="28.35" customHeight="1" x14ac:dyDescent="0.2">
      <c r="A15" s="199" t="s">
        <v>324</v>
      </c>
      <c r="B15" s="200">
        <v>2019</v>
      </c>
      <c r="C15" s="200" t="s">
        <v>400</v>
      </c>
      <c r="D15" s="200" t="s">
        <v>401</v>
      </c>
    </row>
    <row r="16" spans="1:9" s="192" customFormat="1" x14ac:dyDescent="0.2">
      <c r="A16" s="191" t="s">
        <v>319</v>
      </c>
      <c r="B16" s="357">
        <v>193245846</v>
      </c>
      <c r="C16" s="357">
        <v>104535121</v>
      </c>
      <c r="D16" s="191"/>
    </row>
    <row r="17" spans="1:4" s="192" customFormat="1" x14ac:dyDescent="0.2">
      <c r="A17" s="191" t="s">
        <v>320</v>
      </c>
      <c r="B17" s="357">
        <v>256075915</v>
      </c>
      <c r="C17" s="357">
        <v>202419585</v>
      </c>
      <c r="D17" s="191"/>
    </row>
    <row r="18" spans="1:4" s="192" customFormat="1" x14ac:dyDescent="0.2">
      <c r="A18" s="191" t="s">
        <v>321</v>
      </c>
      <c r="B18" s="357">
        <v>1613620793</v>
      </c>
      <c r="C18" s="357">
        <v>1169864114</v>
      </c>
      <c r="D18" s="191"/>
    </row>
    <row r="19" spans="1:4" s="196" customFormat="1" ht="28.35" customHeight="1" x14ac:dyDescent="0.2">
      <c r="A19" s="197" t="s">
        <v>315</v>
      </c>
      <c r="B19" s="368">
        <f>SUM(B16:B18)</f>
        <v>2062942554</v>
      </c>
      <c r="C19" s="368">
        <f t="shared" ref="C19:D19" si="2">SUM(C16:C18)</f>
        <v>1476818820</v>
      </c>
      <c r="D19" s="368">
        <f t="shared" si="2"/>
        <v>0</v>
      </c>
    </row>
    <row r="20" spans="1:4" x14ac:dyDescent="0.2">
      <c r="A20" s="353" t="s">
        <v>402</v>
      </c>
    </row>
    <row r="21" spans="1:4" x14ac:dyDescent="0.2">
      <c r="A21" s="354" t="s">
        <v>403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 xml:space="preserve">&amp;L&amp;"Arial,Negrita"&amp;14
&amp;C&amp;"Arial,Negrita"&amp;18PROYECTO DE PRESUPUESTO 2021&amp;R&amp;"Arial,Negrita"&amp;14 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J54"/>
  <sheetViews>
    <sheetView showWhiteSpace="0" topLeftCell="A22" zoomScaleNormal="100" workbookViewId="0">
      <selection activeCell="F12" sqref="F12"/>
    </sheetView>
  </sheetViews>
  <sheetFormatPr baseColWidth="10" defaultColWidth="11.28515625" defaultRowHeight="12.75" x14ac:dyDescent="0.2"/>
  <cols>
    <col min="1" max="1" width="52.140625" customWidth="1"/>
    <col min="2" max="2" width="12.85546875" customWidth="1"/>
    <col min="3" max="3" width="12.5703125" customWidth="1"/>
    <col min="4" max="4" width="12.85546875" customWidth="1"/>
    <col min="5" max="5" width="23.85546875" customWidth="1"/>
    <col min="6" max="6" width="36.140625" customWidth="1"/>
    <col min="7" max="7" width="16.28515625" customWidth="1"/>
    <col min="10" max="10" width="15" customWidth="1"/>
  </cols>
  <sheetData>
    <row r="1" spans="1:10" x14ac:dyDescent="0.2">
      <c r="A1" s="147" t="s">
        <v>404</v>
      </c>
    </row>
    <row r="2" spans="1:10" x14ac:dyDescent="0.2">
      <c r="A2" s="149" t="s">
        <v>517</v>
      </c>
    </row>
    <row r="3" spans="1:10" s="188" customFormat="1" ht="28.35" customHeight="1" x14ac:dyDescent="0.2">
      <c r="A3" s="199" t="s">
        <v>318</v>
      </c>
      <c r="B3" s="200">
        <v>2019</v>
      </c>
      <c r="C3" s="200">
        <v>2020</v>
      </c>
      <c r="D3" s="200">
        <v>2021</v>
      </c>
      <c r="E3" s="192"/>
      <c r="F3" s="192"/>
      <c r="G3" s="192"/>
      <c r="H3" s="192"/>
    </row>
    <row r="4" spans="1:10" s="194" customFormat="1" x14ac:dyDescent="0.2">
      <c r="A4" s="193" t="s">
        <v>105</v>
      </c>
      <c r="B4" s="369">
        <f>SUM(B5:B10)</f>
        <v>1538126117</v>
      </c>
      <c r="C4" s="369">
        <f>SUM(C5:C10)</f>
        <v>1687143327</v>
      </c>
      <c r="D4" s="369">
        <f>SUM(D5:D10)</f>
        <v>1533690525</v>
      </c>
      <c r="E4" s="192"/>
      <c r="F4" s="192"/>
      <c r="G4" s="192"/>
      <c r="H4" s="192"/>
    </row>
    <row r="5" spans="1:10" s="192" customFormat="1" x14ac:dyDescent="0.2">
      <c r="A5" s="190" t="s">
        <v>94</v>
      </c>
      <c r="B5" s="191"/>
      <c r="C5" s="191"/>
      <c r="D5" s="191"/>
    </row>
    <row r="6" spans="1:10" s="192" customFormat="1" x14ac:dyDescent="0.2">
      <c r="A6" s="190" t="s">
        <v>95</v>
      </c>
      <c r="B6" s="357">
        <v>1228772870</v>
      </c>
      <c r="C6" s="357">
        <v>1360702239</v>
      </c>
      <c r="D6" s="357">
        <v>1303977434</v>
      </c>
      <c r="J6" s="357"/>
    </row>
    <row r="7" spans="1:10" s="192" customFormat="1" x14ac:dyDescent="0.2">
      <c r="A7" s="190" t="s">
        <v>96</v>
      </c>
      <c r="B7" s="357">
        <v>91593068</v>
      </c>
      <c r="C7" s="357">
        <v>94447527</v>
      </c>
      <c r="D7" s="357">
        <v>88584156</v>
      </c>
    </row>
    <row r="8" spans="1:10" s="192" customFormat="1" x14ac:dyDescent="0.2">
      <c r="A8" s="190" t="s">
        <v>97</v>
      </c>
      <c r="B8" s="357">
        <v>211881242</v>
      </c>
      <c r="C8" s="357">
        <v>226907970</v>
      </c>
      <c r="D8" s="357">
        <v>136350136</v>
      </c>
    </row>
    <row r="9" spans="1:10" s="192" customFormat="1" x14ac:dyDescent="0.2">
      <c r="A9" s="190" t="s">
        <v>126</v>
      </c>
      <c r="B9" s="357">
        <v>0</v>
      </c>
      <c r="C9" s="357">
        <v>0</v>
      </c>
      <c r="D9" s="191"/>
    </row>
    <row r="10" spans="1:10" s="192" customFormat="1" x14ac:dyDescent="0.2">
      <c r="A10" s="190" t="s">
        <v>127</v>
      </c>
      <c r="B10" s="357">
        <v>5878937</v>
      </c>
      <c r="C10" s="357">
        <v>5085591</v>
      </c>
      <c r="D10" s="357">
        <v>4778799</v>
      </c>
    </row>
    <row r="11" spans="1:10" s="192" customFormat="1" x14ac:dyDescent="0.2">
      <c r="A11" s="193" t="s">
        <v>93</v>
      </c>
      <c r="B11" s="369">
        <f>SUM(B12:B15)</f>
        <v>250932256</v>
      </c>
      <c r="C11" s="369">
        <f>SUM(C12:C15)</f>
        <v>251595453</v>
      </c>
      <c r="D11" s="369">
        <f>SUM(D12:D15)</f>
        <v>153174097</v>
      </c>
    </row>
    <row r="12" spans="1:10" s="192" customFormat="1" x14ac:dyDescent="0.2">
      <c r="A12" s="190" t="s">
        <v>125</v>
      </c>
      <c r="B12" s="191"/>
      <c r="C12" s="191"/>
      <c r="D12" s="191"/>
    </row>
    <row r="13" spans="1:10" s="192" customFormat="1" x14ac:dyDescent="0.2">
      <c r="A13" s="190" t="s">
        <v>128</v>
      </c>
      <c r="B13" s="191"/>
      <c r="C13" s="191"/>
      <c r="D13" s="191"/>
    </row>
    <row r="14" spans="1:10" s="192" customFormat="1" x14ac:dyDescent="0.2">
      <c r="A14" s="190" t="s">
        <v>102</v>
      </c>
      <c r="B14" s="357">
        <v>250932256</v>
      </c>
      <c r="C14" s="357">
        <v>251595453</v>
      </c>
      <c r="D14" s="357">
        <v>153174097</v>
      </c>
    </row>
    <row r="15" spans="1:10" s="192" customFormat="1" x14ac:dyDescent="0.2">
      <c r="A15" s="190" t="s">
        <v>103</v>
      </c>
      <c r="B15" s="191"/>
      <c r="C15" s="191"/>
      <c r="D15" s="191"/>
    </row>
    <row r="16" spans="1:10" s="192" customFormat="1" x14ac:dyDescent="0.2">
      <c r="A16" s="193" t="s">
        <v>77</v>
      </c>
      <c r="B16" s="369">
        <f>B17</f>
        <v>27777876</v>
      </c>
      <c r="C16" s="369">
        <f>C17</f>
        <v>36695490</v>
      </c>
      <c r="D16" s="369">
        <f>D17</f>
        <v>51470892</v>
      </c>
    </row>
    <row r="17" spans="1:4" s="192" customFormat="1" x14ac:dyDescent="0.2">
      <c r="A17" s="190" t="s">
        <v>104</v>
      </c>
      <c r="B17" s="357">
        <v>27777876</v>
      </c>
      <c r="C17" s="357">
        <v>36695490</v>
      </c>
      <c r="D17" s="357">
        <v>51470892</v>
      </c>
    </row>
    <row r="18" spans="1:4" s="196" customFormat="1" ht="18" customHeight="1" x14ac:dyDescent="0.2">
      <c r="A18" s="195" t="s">
        <v>313</v>
      </c>
      <c r="B18" s="368">
        <f>B16+B11+B4</f>
        <v>1816836249</v>
      </c>
      <c r="C18" s="368">
        <f t="shared" ref="C18:D18" si="0">C16+C11+C4</f>
        <v>1975434270</v>
      </c>
      <c r="D18" s="368">
        <f t="shared" si="0"/>
        <v>1738335514</v>
      </c>
    </row>
    <row r="20" spans="1:4" s="188" customFormat="1" ht="28.35" customHeight="1" x14ac:dyDescent="0.2">
      <c r="A20" s="199" t="s">
        <v>317</v>
      </c>
      <c r="B20" s="200">
        <v>2019</v>
      </c>
      <c r="C20" s="200">
        <v>2020</v>
      </c>
      <c r="D20" s="200">
        <v>2021</v>
      </c>
    </row>
    <row r="21" spans="1:4" s="194" customFormat="1" x14ac:dyDescent="0.2">
      <c r="A21" s="193" t="s">
        <v>105</v>
      </c>
      <c r="B21" s="369">
        <f>SUM(B22:B27)</f>
        <v>1911702068</v>
      </c>
      <c r="C21" s="369">
        <f t="shared" ref="C21:D21" si="1">SUM(C22:C27)</f>
        <v>2019775166</v>
      </c>
      <c r="D21" s="369">
        <f t="shared" si="1"/>
        <v>0</v>
      </c>
    </row>
    <row r="22" spans="1:4" s="192" customFormat="1" x14ac:dyDescent="0.2">
      <c r="A22" s="190" t="s">
        <v>94</v>
      </c>
      <c r="B22" s="191"/>
      <c r="C22" s="191"/>
      <c r="D22" s="191"/>
    </row>
    <row r="23" spans="1:4" s="192" customFormat="1" x14ac:dyDescent="0.2">
      <c r="A23" s="190" t="s">
        <v>95</v>
      </c>
      <c r="B23" s="357">
        <v>1420842305</v>
      </c>
      <c r="C23" s="357">
        <v>1536594813</v>
      </c>
      <c r="D23" s="191"/>
    </row>
    <row r="24" spans="1:4" s="192" customFormat="1" x14ac:dyDescent="0.2">
      <c r="A24" s="190" t="s">
        <v>96</v>
      </c>
      <c r="B24" s="357">
        <v>93630044</v>
      </c>
      <c r="C24" s="357">
        <v>95430273</v>
      </c>
      <c r="D24" s="191"/>
    </row>
    <row r="25" spans="1:4" s="192" customFormat="1" x14ac:dyDescent="0.2">
      <c r="A25" s="190" t="s">
        <v>97</v>
      </c>
      <c r="B25" s="357">
        <v>306597624</v>
      </c>
      <c r="C25" s="357">
        <v>368553961</v>
      </c>
      <c r="D25" s="191"/>
    </row>
    <row r="26" spans="1:4" s="192" customFormat="1" x14ac:dyDescent="0.2">
      <c r="A26" s="190" t="s">
        <v>126</v>
      </c>
      <c r="B26" s="357">
        <v>403786</v>
      </c>
      <c r="C26" s="357">
        <v>25375</v>
      </c>
      <c r="D26" s="191"/>
    </row>
    <row r="27" spans="1:4" s="192" customFormat="1" x14ac:dyDescent="0.2">
      <c r="A27" s="190" t="s">
        <v>127</v>
      </c>
      <c r="B27" s="357">
        <v>90228309</v>
      </c>
      <c r="C27" s="357">
        <v>19170744</v>
      </c>
      <c r="D27" s="191"/>
    </row>
    <row r="28" spans="1:4" s="192" customFormat="1" x14ac:dyDescent="0.2">
      <c r="A28" s="193" t="s">
        <v>93</v>
      </c>
      <c r="B28" s="369">
        <f>SUM(B29:B32)</f>
        <v>419466031</v>
      </c>
      <c r="C28" s="369">
        <f t="shared" ref="C28:D28" si="2">SUM(C29:C32)</f>
        <v>448649798</v>
      </c>
      <c r="D28" s="369">
        <f t="shared" si="2"/>
        <v>0</v>
      </c>
    </row>
    <row r="29" spans="1:4" s="192" customFormat="1" x14ac:dyDescent="0.2">
      <c r="A29" s="190" t="s">
        <v>125</v>
      </c>
      <c r="B29" s="191"/>
      <c r="C29" s="191"/>
      <c r="D29" s="191"/>
    </row>
    <row r="30" spans="1:4" s="192" customFormat="1" x14ac:dyDescent="0.2">
      <c r="A30" s="190" t="s">
        <v>128</v>
      </c>
      <c r="B30" s="191"/>
      <c r="C30" s="191"/>
      <c r="D30" s="191"/>
    </row>
    <row r="31" spans="1:4" s="192" customFormat="1" x14ac:dyDescent="0.2">
      <c r="A31" s="190" t="s">
        <v>102</v>
      </c>
      <c r="B31" s="357">
        <v>419466031</v>
      </c>
      <c r="C31" s="357">
        <v>448649798</v>
      </c>
      <c r="D31" s="191"/>
    </row>
    <row r="32" spans="1:4" s="192" customFormat="1" x14ac:dyDescent="0.2">
      <c r="A32" s="190" t="s">
        <v>103</v>
      </c>
      <c r="B32" s="191"/>
      <c r="C32" s="191"/>
      <c r="D32" s="191"/>
    </row>
    <row r="33" spans="1:4" s="192" customFormat="1" x14ac:dyDescent="0.2">
      <c r="A33" s="193" t="s">
        <v>77</v>
      </c>
      <c r="B33" s="369">
        <f>B34</f>
        <v>36787661</v>
      </c>
      <c r="C33" s="369">
        <f t="shared" ref="C33:D33" si="3">C34</f>
        <v>36695490</v>
      </c>
      <c r="D33" s="369">
        <f t="shared" si="3"/>
        <v>0</v>
      </c>
    </row>
    <row r="34" spans="1:4" s="192" customFormat="1" x14ac:dyDescent="0.2">
      <c r="A34" s="190" t="s">
        <v>104</v>
      </c>
      <c r="B34" s="357">
        <v>36787661</v>
      </c>
      <c r="C34" s="357">
        <v>36695490</v>
      </c>
      <c r="D34" s="191"/>
    </row>
    <row r="35" spans="1:4" s="196" customFormat="1" ht="18" customHeight="1" x14ac:dyDescent="0.2">
      <c r="A35" s="195" t="s">
        <v>314</v>
      </c>
      <c r="B35" s="368">
        <f>B33+B28+B21</f>
        <v>2367955760</v>
      </c>
      <c r="C35" s="368">
        <f t="shared" ref="C35:D35" si="4">C33+C28+C21</f>
        <v>2505120454</v>
      </c>
      <c r="D35" s="368">
        <f t="shared" si="4"/>
        <v>0</v>
      </c>
    </row>
    <row r="37" spans="1:4" s="188" customFormat="1" ht="28.35" customHeight="1" x14ac:dyDescent="0.2">
      <c r="A37" s="199" t="s">
        <v>316</v>
      </c>
      <c r="B37" s="200">
        <v>2019</v>
      </c>
      <c r="C37" s="200">
        <v>2020</v>
      </c>
      <c r="D37" s="200">
        <v>2021</v>
      </c>
    </row>
    <row r="38" spans="1:4" s="194" customFormat="1" x14ac:dyDescent="0.2">
      <c r="A38" s="193" t="s">
        <v>105</v>
      </c>
      <c r="B38" s="368">
        <f>SUM(B39:B44)</f>
        <v>1854771131</v>
      </c>
      <c r="C38" s="368">
        <f t="shared" ref="C38:D38" si="5">SUM(C39:C44)</f>
        <v>1385846847</v>
      </c>
      <c r="D38" s="368">
        <f t="shared" si="5"/>
        <v>0</v>
      </c>
    </row>
    <row r="39" spans="1:4" s="192" customFormat="1" x14ac:dyDescent="0.2">
      <c r="A39" s="190" t="s">
        <v>94</v>
      </c>
      <c r="B39" s="191"/>
      <c r="C39" s="191"/>
      <c r="D39" s="191"/>
    </row>
    <row r="40" spans="1:4" s="192" customFormat="1" x14ac:dyDescent="0.2">
      <c r="A40" s="190" t="s">
        <v>95</v>
      </c>
      <c r="B40" s="357">
        <v>1415389388</v>
      </c>
      <c r="C40" s="357">
        <v>1099210886</v>
      </c>
      <c r="D40" s="191"/>
    </row>
    <row r="41" spans="1:4" s="192" customFormat="1" x14ac:dyDescent="0.2">
      <c r="A41" s="190" t="s">
        <v>96</v>
      </c>
      <c r="B41" s="357">
        <v>93457062</v>
      </c>
      <c r="C41" s="357">
        <v>67127809</v>
      </c>
      <c r="D41" s="191"/>
    </row>
    <row r="42" spans="1:4" s="192" customFormat="1" x14ac:dyDescent="0.2">
      <c r="A42" s="190" t="s">
        <v>97</v>
      </c>
      <c r="B42" s="357">
        <v>262689938</v>
      </c>
      <c r="C42" s="357">
        <v>213517429</v>
      </c>
      <c r="D42" s="191"/>
    </row>
    <row r="43" spans="1:4" s="192" customFormat="1" x14ac:dyDescent="0.2">
      <c r="A43" s="190" t="s">
        <v>126</v>
      </c>
      <c r="B43" s="357">
        <v>403785</v>
      </c>
      <c r="C43" s="191"/>
      <c r="D43" s="191"/>
    </row>
    <row r="44" spans="1:4" s="192" customFormat="1" x14ac:dyDescent="0.2">
      <c r="A44" s="190" t="s">
        <v>127</v>
      </c>
      <c r="B44" s="357">
        <v>82830958</v>
      </c>
      <c r="C44" s="357">
        <v>5990723</v>
      </c>
      <c r="D44" s="191"/>
    </row>
    <row r="45" spans="1:4" s="192" customFormat="1" x14ac:dyDescent="0.2">
      <c r="A45" s="193" t="s">
        <v>93</v>
      </c>
      <c r="B45" s="368">
        <f>SUM(B46:B49)</f>
        <v>172706876</v>
      </c>
      <c r="C45" s="368">
        <f>SUM(C46:C49)</f>
        <v>71661164</v>
      </c>
      <c r="D45" s="368">
        <f>SUM(D46:D49)</f>
        <v>0</v>
      </c>
    </row>
    <row r="46" spans="1:4" s="192" customFormat="1" x14ac:dyDescent="0.2">
      <c r="A46" s="190" t="s">
        <v>125</v>
      </c>
      <c r="B46" s="191"/>
      <c r="C46" s="191"/>
      <c r="D46" s="191"/>
    </row>
    <row r="47" spans="1:4" s="192" customFormat="1" x14ac:dyDescent="0.2">
      <c r="A47" s="190" t="s">
        <v>128</v>
      </c>
      <c r="B47" s="191"/>
      <c r="C47" s="191"/>
      <c r="D47" s="191"/>
    </row>
    <row r="48" spans="1:4" s="192" customFormat="1" x14ac:dyDescent="0.2">
      <c r="A48" s="190" t="s">
        <v>102</v>
      </c>
      <c r="B48" s="357">
        <v>172706876</v>
      </c>
      <c r="C48" s="357">
        <v>71661164</v>
      </c>
      <c r="D48" s="191"/>
    </row>
    <row r="49" spans="1:4" s="192" customFormat="1" x14ac:dyDescent="0.2">
      <c r="A49" s="190" t="s">
        <v>103</v>
      </c>
      <c r="B49" s="191"/>
      <c r="C49" s="191"/>
      <c r="D49" s="191"/>
    </row>
    <row r="50" spans="1:4" s="192" customFormat="1" x14ac:dyDescent="0.2">
      <c r="A50" s="193" t="s">
        <v>77</v>
      </c>
      <c r="B50" s="369">
        <f>B51</f>
        <v>35464547</v>
      </c>
      <c r="C50" s="369">
        <f>C51</f>
        <v>20591242</v>
      </c>
      <c r="D50" s="369">
        <f>D51</f>
        <v>0</v>
      </c>
    </row>
    <row r="51" spans="1:4" s="192" customFormat="1" x14ac:dyDescent="0.2">
      <c r="A51" s="190" t="s">
        <v>104</v>
      </c>
      <c r="B51" s="357">
        <v>35464547</v>
      </c>
      <c r="C51" s="357">
        <v>20591242</v>
      </c>
      <c r="D51" s="191"/>
    </row>
    <row r="52" spans="1:4" s="196" customFormat="1" ht="18" customHeight="1" x14ac:dyDescent="0.2">
      <c r="A52" s="352" t="s">
        <v>315</v>
      </c>
      <c r="B52" s="368">
        <f>B50+B45+B38</f>
        <v>2062942554</v>
      </c>
      <c r="C52" s="368">
        <f>C50+C45+C38</f>
        <v>1478099253</v>
      </c>
      <c r="D52" s="368">
        <f>D50+D45+D38</f>
        <v>0</v>
      </c>
    </row>
    <row r="53" spans="1:4" x14ac:dyDescent="0.2">
      <c r="A53" s="353" t="s">
        <v>402</v>
      </c>
    </row>
    <row r="54" spans="1:4" x14ac:dyDescent="0.2">
      <c r="A54" s="354" t="s">
        <v>403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9" tint="-0.249977111117893"/>
  </sheetPr>
  <dimension ref="A1:W38"/>
  <sheetViews>
    <sheetView zoomScaleNormal="100" zoomScaleSheetLayoutView="100" workbookViewId="0">
      <selection activeCell="R6" sqref="R6:R36"/>
    </sheetView>
  </sheetViews>
  <sheetFormatPr baseColWidth="10" defaultColWidth="11.28515625" defaultRowHeight="11.25" x14ac:dyDescent="0.2"/>
  <cols>
    <col min="1" max="1" width="25.5703125" style="157" customWidth="1"/>
    <col min="2" max="2" width="35.85546875" style="157" customWidth="1"/>
    <col min="3" max="8" width="10.7109375" style="157" customWidth="1"/>
    <col min="9" max="9" width="13.42578125" style="157" customWidth="1"/>
    <col min="10" max="16" width="10.7109375" style="157" customWidth="1"/>
    <col min="17" max="17" width="17.5703125" style="157" customWidth="1"/>
    <col min="18" max="18" width="10.7109375" style="157" customWidth="1"/>
    <col min="19" max="16384" width="11.28515625" style="157"/>
  </cols>
  <sheetData>
    <row r="1" spans="1:23" s="156" customFormat="1" x14ac:dyDescent="0.2">
      <c r="A1" s="147" t="s">
        <v>405</v>
      </c>
      <c r="B1" s="147"/>
      <c r="C1" s="255"/>
      <c r="D1" s="255"/>
      <c r="E1" s="255"/>
      <c r="F1" s="255"/>
      <c r="G1" s="255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</row>
    <row r="2" spans="1:23" s="156" customFormat="1" ht="12" thickBot="1" x14ac:dyDescent="0.25">
      <c r="A2" s="147" t="s">
        <v>517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55"/>
      <c r="T2" s="155"/>
      <c r="U2" s="155"/>
      <c r="V2" s="155"/>
      <c r="W2" s="155"/>
    </row>
    <row r="3" spans="1:23" s="161" customFormat="1" ht="28.35" customHeight="1" thickBot="1" x14ac:dyDescent="0.25">
      <c r="A3" s="534" t="s">
        <v>286</v>
      </c>
      <c r="B3" s="534" t="s">
        <v>266</v>
      </c>
      <c r="C3" s="536" t="s">
        <v>105</v>
      </c>
      <c r="D3" s="537"/>
      <c r="E3" s="537"/>
      <c r="F3" s="537"/>
      <c r="G3" s="537"/>
      <c r="H3" s="537"/>
      <c r="I3" s="538"/>
      <c r="J3" s="536" t="s">
        <v>93</v>
      </c>
      <c r="K3" s="537"/>
      <c r="L3" s="537"/>
      <c r="M3" s="537"/>
      <c r="N3" s="538"/>
      <c r="O3" s="536" t="s">
        <v>77</v>
      </c>
      <c r="P3" s="538"/>
      <c r="Q3" s="536" t="s">
        <v>0</v>
      </c>
      <c r="R3" s="538"/>
    </row>
    <row r="4" spans="1:23" s="162" customFormat="1" ht="109.5" customHeight="1" thickBot="1" x14ac:dyDescent="0.25">
      <c r="A4" s="535"/>
      <c r="B4" s="535"/>
      <c r="C4" s="257" t="s">
        <v>94</v>
      </c>
      <c r="D4" s="258" t="s">
        <v>95</v>
      </c>
      <c r="E4" s="258" t="s">
        <v>96</v>
      </c>
      <c r="F4" s="258" t="s">
        <v>97</v>
      </c>
      <c r="G4" s="258" t="s">
        <v>98</v>
      </c>
      <c r="H4" s="258" t="s">
        <v>99</v>
      </c>
      <c r="I4" s="259" t="s">
        <v>90</v>
      </c>
      <c r="J4" s="257" t="s">
        <v>100</v>
      </c>
      <c r="K4" s="258" t="s">
        <v>101</v>
      </c>
      <c r="L4" s="258" t="s">
        <v>102</v>
      </c>
      <c r="M4" s="258" t="s">
        <v>103</v>
      </c>
      <c r="N4" s="259" t="s">
        <v>91</v>
      </c>
      <c r="O4" s="257" t="s">
        <v>104</v>
      </c>
      <c r="P4" s="259" t="s">
        <v>92</v>
      </c>
      <c r="Q4" s="260" t="s">
        <v>129</v>
      </c>
      <c r="R4" s="261" t="s">
        <v>75</v>
      </c>
    </row>
    <row r="5" spans="1:23" ht="12" thickBot="1" x14ac:dyDescent="0.25">
      <c r="A5" s="262" t="s">
        <v>489</v>
      </c>
      <c r="B5" s="262" t="s">
        <v>281</v>
      </c>
      <c r="C5" s="263"/>
      <c r="D5" s="359">
        <v>8640272</v>
      </c>
      <c r="E5" s="359">
        <v>2090737</v>
      </c>
      <c r="F5" s="359">
        <v>13123709</v>
      </c>
      <c r="G5" s="360"/>
      <c r="H5" s="359">
        <v>447414</v>
      </c>
      <c r="I5" s="372">
        <f>SUM(C5:H5)</f>
        <v>24302132</v>
      </c>
      <c r="J5" s="361"/>
      <c r="K5" s="360"/>
      <c r="L5" s="359">
        <v>53253043</v>
      </c>
      <c r="M5" s="360"/>
      <c r="N5" s="372">
        <f>SUM(J5:M5)</f>
        <v>53253043</v>
      </c>
      <c r="O5" s="363">
        <v>23101482</v>
      </c>
      <c r="P5" s="372">
        <f>O5</f>
        <v>23101482</v>
      </c>
      <c r="Q5" s="375">
        <f>I5+N5+P5</f>
        <v>100656657</v>
      </c>
      <c r="R5" s="362">
        <f>+Q5/$Q$37*100</f>
        <v>5.7904044523823721</v>
      </c>
    </row>
    <row r="6" spans="1:23" ht="12" thickBot="1" x14ac:dyDescent="0.25">
      <c r="A6" s="262" t="s">
        <v>489</v>
      </c>
      <c r="B6" s="264" t="s">
        <v>282</v>
      </c>
      <c r="C6" s="265"/>
      <c r="D6" s="359">
        <v>1747792</v>
      </c>
      <c r="E6" s="359">
        <v>1397907</v>
      </c>
      <c r="F6" s="359">
        <v>598850</v>
      </c>
      <c r="G6" s="271"/>
      <c r="H6" s="271"/>
      <c r="I6" s="372">
        <f t="shared" ref="I6:I36" si="0">SUM(C6:H6)</f>
        <v>3744549</v>
      </c>
      <c r="J6" s="270"/>
      <c r="K6" s="271"/>
      <c r="L6" s="363">
        <v>20004739</v>
      </c>
      <c r="M6" s="271"/>
      <c r="N6" s="372">
        <f t="shared" ref="N6:N10" si="1">SUM(J6:M6)</f>
        <v>20004739</v>
      </c>
      <c r="O6" s="363"/>
      <c r="P6" s="372"/>
      <c r="Q6" s="375">
        <f t="shared" ref="Q6:Q36" si="2">I6+N6+P6</f>
        <v>23749288</v>
      </c>
      <c r="R6" s="362">
        <f t="shared" ref="R6:R36" si="3">+Q6/$Q$37*100</f>
        <v>1.366208525841577</v>
      </c>
    </row>
    <row r="7" spans="1:23" ht="12" thickBot="1" x14ac:dyDescent="0.25">
      <c r="A7" s="262" t="s">
        <v>489</v>
      </c>
      <c r="B7" s="264" t="s">
        <v>283</v>
      </c>
      <c r="C7" s="267"/>
      <c r="D7" s="359">
        <v>1128223</v>
      </c>
      <c r="E7" s="359">
        <v>121536</v>
      </c>
      <c r="F7" s="359">
        <v>642944</v>
      </c>
      <c r="G7" s="269"/>
      <c r="H7" s="269"/>
      <c r="I7" s="372">
        <f t="shared" si="0"/>
        <v>1892703</v>
      </c>
      <c r="J7" s="267"/>
      <c r="K7" s="268"/>
      <c r="L7" s="363">
        <v>30019860</v>
      </c>
      <c r="M7" s="268"/>
      <c r="N7" s="372">
        <f t="shared" si="1"/>
        <v>30019860</v>
      </c>
      <c r="O7" s="363"/>
      <c r="P7" s="372"/>
      <c r="Q7" s="375">
        <f t="shared" si="2"/>
        <v>31912563</v>
      </c>
      <c r="R7" s="362">
        <f t="shared" si="3"/>
        <v>1.8358114842035034</v>
      </c>
    </row>
    <row r="8" spans="1:23" ht="12" thickBot="1" x14ac:dyDescent="0.25">
      <c r="A8" s="262" t="s">
        <v>489</v>
      </c>
      <c r="B8" s="264" t="s">
        <v>285</v>
      </c>
      <c r="C8" s="267"/>
      <c r="D8" s="359">
        <v>1896791</v>
      </c>
      <c r="E8" s="359">
        <v>2283190</v>
      </c>
      <c r="F8" s="359">
        <v>752453</v>
      </c>
      <c r="G8" s="269"/>
      <c r="H8" s="269"/>
      <c r="I8" s="372">
        <f t="shared" si="0"/>
        <v>4932434</v>
      </c>
      <c r="J8" s="267"/>
      <c r="K8" s="268"/>
      <c r="L8" s="363">
        <v>24381467</v>
      </c>
      <c r="M8" s="268"/>
      <c r="N8" s="372">
        <f t="shared" si="1"/>
        <v>24381467</v>
      </c>
      <c r="O8" s="363"/>
      <c r="P8" s="372"/>
      <c r="Q8" s="375">
        <f t="shared" si="2"/>
        <v>29313901</v>
      </c>
      <c r="R8" s="362">
        <f t="shared" si="3"/>
        <v>1.686320089759151</v>
      </c>
    </row>
    <row r="9" spans="1:23" ht="12" thickBot="1" x14ac:dyDescent="0.25">
      <c r="A9" s="262" t="s">
        <v>489</v>
      </c>
      <c r="B9" s="264" t="s">
        <v>284</v>
      </c>
      <c r="C9" s="265"/>
      <c r="D9" s="359"/>
      <c r="E9" s="359"/>
      <c r="F9" s="359">
        <v>15908</v>
      </c>
      <c r="G9" s="266"/>
      <c r="H9" s="266"/>
      <c r="I9" s="372">
        <f t="shared" si="0"/>
        <v>15908</v>
      </c>
      <c r="J9" s="265"/>
      <c r="K9" s="266"/>
      <c r="L9" s="363">
        <v>9244454</v>
      </c>
      <c r="M9" s="266"/>
      <c r="N9" s="372">
        <f t="shared" si="1"/>
        <v>9244454</v>
      </c>
      <c r="O9" s="363">
        <v>28369410</v>
      </c>
      <c r="P9" s="372">
        <f>O9</f>
        <v>28369410</v>
      </c>
      <c r="Q9" s="375">
        <f t="shared" si="2"/>
        <v>37629772</v>
      </c>
      <c r="R9" s="362">
        <f t="shared" si="3"/>
        <v>2.1647013304935561</v>
      </c>
    </row>
    <row r="10" spans="1:23" ht="12" thickBot="1" x14ac:dyDescent="0.25">
      <c r="A10" s="262" t="s">
        <v>489</v>
      </c>
      <c r="B10" s="264" t="s">
        <v>462</v>
      </c>
      <c r="C10" s="270"/>
      <c r="D10" s="359">
        <v>4462589</v>
      </c>
      <c r="E10" s="359">
        <v>7554042</v>
      </c>
      <c r="F10" s="359">
        <v>3819783</v>
      </c>
      <c r="G10" s="271"/>
      <c r="H10" s="271"/>
      <c r="I10" s="372">
        <f t="shared" si="0"/>
        <v>15836414</v>
      </c>
      <c r="J10" s="270"/>
      <c r="K10" s="271"/>
      <c r="L10" s="363">
        <v>16270534</v>
      </c>
      <c r="M10" s="271"/>
      <c r="N10" s="372">
        <f t="shared" si="1"/>
        <v>16270534</v>
      </c>
      <c r="O10" s="373"/>
      <c r="P10" s="372"/>
      <c r="Q10" s="375">
        <f t="shared" si="2"/>
        <v>32106948</v>
      </c>
      <c r="R10" s="362">
        <f t="shared" si="3"/>
        <v>1.846993732879578</v>
      </c>
    </row>
    <row r="11" spans="1:23" ht="12" thickBot="1" x14ac:dyDescent="0.25">
      <c r="A11" s="262" t="s">
        <v>489</v>
      </c>
      <c r="B11" s="264" t="s">
        <v>463</v>
      </c>
      <c r="C11" s="270"/>
      <c r="D11" s="359">
        <v>3708046</v>
      </c>
      <c r="E11" s="359">
        <v>851857</v>
      </c>
      <c r="F11" s="359">
        <v>4038401</v>
      </c>
      <c r="G11" s="271"/>
      <c r="H11" s="271"/>
      <c r="I11" s="372">
        <f t="shared" si="0"/>
        <v>8598304</v>
      </c>
      <c r="J11" s="270"/>
      <c r="K11" s="271"/>
      <c r="L11" s="271"/>
      <c r="M11" s="271"/>
      <c r="N11" s="372"/>
      <c r="O11" s="373"/>
      <c r="P11" s="372"/>
      <c r="Q11" s="375">
        <f t="shared" si="2"/>
        <v>8598304</v>
      </c>
      <c r="R11" s="362">
        <f t="shared" si="3"/>
        <v>0.49462856455223986</v>
      </c>
    </row>
    <row r="12" spans="1:23" s="198" customFormat="1" ht="12" thickBot="1" x14ac:dyDescent="0.25">
      <c r="A12" s="262" t="s">
        <v>489</v>
      </c>
      <c r="B12" s="364" t="s">
        <v>464</v>
      </c>
      <c r="C12" s="365"/>
      <c r="D12" s="359">
        <v>35027697</v>
      </c>
      <c r="E12" s="359">
        <v>1607614</v>
      </c>
      <c r="F12" s="359">
        <v>3618974</v>
      </c>
      <c r="G12" s="366"/>
      <c r="H12" s="366"/>
      <c r="I12" s="372">
        <f t="shared" si="0"/>
        <v>40254285</v>
      </c>
      <c r="J12" s="365"/>
      <c r="K12" s="366"/>
      <c r="L12" s="366"/>
      <c r="M12" s="366"/>
      <c r="N12" s="370"/>
      <c r="O12" s="374"/>
      <c r="P12" s="372"/>
      <c r="Q12" s="375">
        <f t="shared" si="2"/>
        <v>40254285</v>
      </c>
      <c r="R12" s="362">
        <f t="shared" si="3"/>
        <v>2.3156798371663481</v>
      </c>
    </row>
    <row r="13" spans="1:23" s="198" customFormat="1" ht="12" thickBot="1" x14ac:dyDescent="0.25">
      <c r="A13" s="262" t="s">
        <v>489</v>
      </c>
      <c r="B13" s="364" t="s">
        <v>465</v>
      </c>
      <c r="C13" s="365"/>
      <c r="D13" s="359">
        <v>107653835</v>
      </c>
      <c r="E13" s="359">
        <v>6563423</v>
      </c>
      <c r="F13" s="359">
        <v>1495841</v>
      </c>
      <c r="G13" s="366"/>
      <c r="H13" s="366"/>
      <c r="I13" s="372">
        <f t="shared" si="0"/>
        <v>115713099</v>
      </c>
      <c r="J13" s="365"/>
      <c r="K13" s="366"/>
      <c r="L13" s="366"/>
      <c r="M13" s="366"/>
      <c r="N13" s="370"/>
      <c r="O13" s="374"/>
      <c r="P13" s="372"/>
      <c r="Q13" s="375">
        <f t="shared" si="2"/>
        <v>115713099</v>
      </c>
      <c r="R13" s="362">
        <f t="shared" si="3"/>
        <v>6.6565457627761493</v>
      </c>
    </row>
    <row r="14" spans="1:23" s="198" customFormat="1" ht="12" thickBot="1" x14ac:dyDescent="0.25">
      <c r="A14" s="262" t="s">
        <v>489</v>
      </c>
      <c r="B14" s="364" t="s">
        <v>466</v>
      </c>
      <c r="C14" s="365"/>
      <c r="D14" s="359">
        <v>109683937</v>
      </c>
      <c r="E14" s="359">
        <v>4822204</v>
      </c>
      <c r="F14" s="359">
        <v>1400677</v>
      </c>
      <c r="G14" s="366"/>
      <c r="H14" s="366"/>
      <c r="I14" s="372">
        <f t="shared" si="0"/>
        <v>115906818</v>
      </c>
      <c r="J14" s="365"/>
      <c r="K14" s="366"/>
      <c r="L14" s="366"/>
      <c r="M14" s="366"/>
      <c r="N14" s="370"/>
      <c r="O14" s="374"/>
      <c r="P14" s="372"/>
      <c r="Q14" s="375">
        <f t="shared" si="2"/>
        <v>115906818</v>
      </c>
      <c r="R14" s="362">
        <f t="shared" si="3"/>
        <v>6.6676896989403627</v>
      </c>
    </row>
    <row r="15" spans="1:23" s="198" customFormat="1" ht="12" thickBot="1" x14ac:dyDescent="0.25">
      <c r="A15" s="262" t="s">
        <v>489</v>
      </c>
      <c r="B15" s="364" t="s">
        <v>467</v>
      </c>
      <c r="C15" s="365"/>
      <c r="D15" s="359">
        <v>134335972</v>
      </c>
      <c r="E15" s="359">
        <v>9517489</v>
      </c>
      <c r="F15" s="359">
        <v>1836321</v>
      </c>
      <c r="G15" s="366"/>
      <c r="H15" s="366"/>
      <c r="I15" s="372">
        <f t="shared" si="0"/>
        <v>145689782</v>
      </c>
      <c r="J15" s="365"/>
      <c r="K15" s="366"/>
      <c r="L15" s="366"/>
      <c r="M15" s="366"/>
      <c r="N15" s="370"/>
      <c r="O15" s="374"/>
      <c r="P15" s="372"/>
      <c r="Q15" s="375">
        <f t="shared" si="2"/>
        <v>145689782</v>
      </c>
      <c r="R15" s="362">
        <f t="shared" si="3"/>
        <v>8.3809932447827791</v>
      </c>
    </row>
    <row r="16" spans="1:23" s="198" customFormat="1" ht="12" thickBot="1" x14ac:dyDescent="0.25">
      <c r="A16" s="262" t="s">
        <v>489</v>
      </c>
      <c r="B16" s="364" t="s">
        <v>468</v>
      </c>
      <c r="C16" s="365"/>
      <c r="D16" s="359">
        <v>115720948</v>
      </c>
      <c r="E16" s="359">
        <v>1871682</v>
      </c>
      <c r="F16" s="359">
        <v>1746272</v>
      </c>
      <c r="G16" s="366"/>
      <c r="H16" s="366"/>
      <c r="I16" s="372">
        <f t="shared" si="0"/>
        <v>119338902</v>
      </c>
      <c r="J16" s="365"/>
      <c r="K16" s="366"/>
      <c r="L16" s="366"/>
      <c r="M16" s="366"/>
      <c r="N16" s="370"/>
      <c r="O16" s="374"/>
      <c r="P16" s="372"/>
      <c r="Q16" s="375">
        <f t="shared" si="2"/>
        <v>119338902</v>
      </c>
      <c r="R16" s="362">
        <f t="shared" si="3"/>
        <v>6.8651247724551752</v>
      </c>
    </row>
    <row r="17" spans="1:18" s="198" customFormat="1" ht="12" thickBot="1" x14ac:dyDescent="0.25">
      <c r="A17" s="262" t="s">
        <v>489</v>
      </c>
      <c r="B17" s="364" t="s">
        <v>469</v>
      </c>
      <c r="C17" s="365"/>
      <c r="D17" s="359">
        <v>41333918</v>
      </c>
      <c r="E17" s="359">
        <v>3165250</v>
      </c>
      <c r="F17" s="359">
        <v>983498</v>
      </c>
      <c r="G17" s="366"/>
      <c r="H17" s="366"/>
      <c r="I17" s="372">
        <f t="shared" si="0"/>
        <v>45482666</v>
      </c>
      <c r="J17" s="365"/>
      <c r="K17" s="366"/>
      <c r="L17" s="366"/>
      <c r="M17" s="366"/>
      <c r="N17" s="370"/>
      <c r="O17" s="374"/>
      <c r="P17" s="372"/>
      <c r="Q17" s="375">
        <f t="shared" si="2"/>
        <v>45482666</v>
      </c>
      <c r="R17" s="362">
        <f t="shared" si="3"/>
        <v>2.6164492201705083</v>
      </c>
    </row>
    <row r="18" spans="1:18" s="198" customFormat="1" ht="12" thickBot="1" x14ac:dyDescent="0.25">
      <c r="A18" s="262" t="s">
        <v>489</v>
      </c>
      <c r="B18" s="364" t="s">
        <v>470</v>
      </c>
      <c r="C18" s="365"/>
      <c r="D18" s="359">
        <v>50608568</v>
      </c>
      <c r="E18" s="359">
        <v>2958652</v>
      </c>
      <c r="F18" s="359">
        <v>1077137</v>
      </c>
      <c r="G18" s="366"/>
      <c r="H18" s="366"/>
      <c r="I18" s="372">
        <f t="shared" si="0"/>
        <v>54644357</v>
      </c>
      <c r="J18" s="365"/>
      <c r="K18" s="366"/>
      <c r="L18" s="366"/>
      <c r="M18" s="366"/>
      <c r="N18" s="370"/>
      <c r="O18" s="374"/>
      <c r="P18" s="372"/>
      <c r="Q18" s="375">
        <f t="shared" si="2"/>
        <v>54644357</v>
      </c>
      <c r="R18" s="362">
        <f t="shared" si="3"/>
        <v>3.1434873509694627</v>
      </c>
    </row>
    <row r="19" spans="1:18" s="198" customFormat="1" ht="12" thickBot="1" x14ac:dyDescent="0.25">
      <c r="A19" s="262" t="s">
        <v>489</v>
      </c>
      <c r="B19" s="364" t="s">
        <v>471</v>
      </c>
      <c r="C19" s="365"/>
      <c r="D19" s="359">
        <v>55960140</v>
      </c>
      <c r="E19" s="359">
        <v>1403254</v>
      </c>
      <c r="F19" s="359">
        <v>1048423</v>
      </c>
      <c r="G19" s="366"/>
      <c r="H19" s="366"/>
      <c r="I19" s="372">
        <f t="shared" si="0"/>
        <v>58411817</v>
      </c>
      <c r="J19" s="365"/>
      <c r="K19" s="366"/>
      <c r="L19" s="366"/>
      <c r="M19" s="366"/>
      <c r="N19" s="370"/>
      <c r="O19" s="374"/>
      <c r="P19" s="372"/>
      <c r="Q19" s="375">
        <f t="shared" si="2"/>
        <v>58411817</v>
      </c>
      <c r="R19" s="362">
        <f t="shared" si="3"/>
        <v>3.3602153628899512</v>
      </c>
    </row>
    <row r="20" spans="1:18" s="198" customFormat="1" ht="12" thickBot="1" x14ac:dyDescent="0.25">
      <c r="A20" s="262" t="s">
        <v>489</v>
      </c>
      <c r="B20" s="364" t="s">
        <v>472</v>
      </c>
      <c r="C20" s="365"/>
      <c r="D20" s="359">
        <v>60304730</v>
      </c>
      <c r="E20" s="359">
        <v>4380475</v>
      </c>
      <c r="F20" s="359">
        <v>1287126</v>
      </c>
      <c r="G20" s="366"/>
      <c r="H20" s="366"/>
      <c r="I20" s="372">
        <f t="shared" si="0"/>
        <v>65972331</v>
      </c>
      <c r="J20" s="365"/>
      <c r="K20" s="366"/>
      <c r="L20" s="366"/>
      <c r="M20" s="366"/>
      <c r="N20" s="370"/>
      <c r="O20" s="374"/>
      <c r="P20" s="372"/>
      <c r="Q20" s="375">
        <f t="shared" si="2"/>
        <v>65972331</v>
      </c>
      <c r="R20" s="362">
        <f t="shared" si="3"/>
        <v>3.7951437147017866</v>
      </c>
    </row>
    <row r="21" spans="1:18" s="198" customFormat="1" ht="12" thickBot="1" x14ac:dyDescent="0.25">
      <c r="A21" s="262" t="s">
        <v>489</v>
      </c>
      <c r="B21" s="364" t="s">
        <v>473</v>
      </c>
      <c r="C21" s="365"/>
      <c r="D21" s="359">
        <v>156526704</v>
      </c>
      <c r="E21" s="359">
        <v>27657598</v>
      </c>
      <c r="F21" s="359">
        <v>3798545</v>
      </c>
      <c r="G21" s="366"/>
      <c r="H21" s="366"/>
      <c r="I21" s="372">
        <f t="shared" si="0"/>
        <v>187982847</v>
      </c>
      <c r="J21" s="365"/>
      <c r="K21" s="366"/>
      <c r="L21" s="366"/>
      <c r="M21" s="366"/>
      <c r="N21" s="370"/>
      <c r="O21" s="374"/>
      <c r="P21" s="372"/>
      <c r="Q21" s="375">
        <f t="shared" si="2"/>
        <v>187982847</v>
      </c>
      <c r="R21" s="362">
        <f t="shared" si="3"/>
        <v>10.813956539807538</v>
      </c>
    </row>
    <row r="22" spans="1:18" s="198" customFormat="1" ht="12" thickBot="1" x14ac:dyDescent="0.25">
      <c r="A22" s="262" t="s">
        <v>489</v>
      </c>
      <c r="B22" s="364" t="s">
        <v>474</v>
      </c>
      <c r="C22" s="365"/>
      <c r="D22" s="359">
        <v>40077871</v>
      </c>
      <c r="E22" s="359">
        <v>738193</v>
      </c>
      <c r="F22" s="359">
        <v>884202</v>
      </c>
      <c r="G22" s="366"/>
      <c r="H22" s="366"/>
      <c r="I22" s="372">
        <f t="shared" si="0"/>
        <v>41700266</v>
      </c>
      <c r="J22" s="365"/>
      <c r="K22" s="366"/>
      <c r="L22" s="366"/>
      <c r="M22" s="366"/>
      <c r="N22" s="370"/>
      <c r="O22" s="374"/>
      <c r="P22" s="372"/>
      <c r="Q22" s="375">
        <f t="shared" si="2"/>
        <v>41700266</v>
      </c>
      <c r="R22" s="362">
        <f t="shared" si="3"/>
        <v>2.3988617654163624</v>
      </c>
    </row>
    <row r="23" spans="1:18" s="198" customFormat="1" ht="12" thickBot="1" x14ac:dyDescent="0.25">
      <c r="A23" s="262" t="s">
        <v>489</v>
      </c>
      <c r="B23" s="364" t="s">
        <v>475</v>
      </c>
      <c r="C23" s="365"/>
      <c r="D23" s="359">
        <v>31647416</v>
      </c>
      <c r="E23" s="359">
        <v>2223019</v>
      </c>
      <c r="F23" s="359">
        <v>932091</v>
      </c>
      <c r="G23" s="359"/>
      <c r="H23" s="359"/>
      <c r="I23" s="372">
        <f t="shared" si="0"/>
        <v>34802526</v>
      </c>
      <c r="J23" s="365"/>
      <c r="K23" s="366"/>
      <c r="L23" s="366"/>
      <c r="M23" s="366"/>
      <c r="N23" s="370"/>
      <c r="O23" s="374"/>
      <c r="P23" s="372"/>
      <c r="Q23" s="375">
        <f t="shared" si="2"/>
        <v>34802526</v>
      </c>
      <c r="R23" s="362">
        <f t="shared" si="3"/>
        <v>2.0020603456416528</v>
      </c>
    </row>
    <row r="24" spans="1:18" s="198" customFormat="1" ht="12" thickBot="1" x14ac:dyDescent="0.25">
      <c r="A24" s="262" t="s">
        <v>489</v>
      </c>
      <c r="B24" s="364" t="s">
        <v>476</v>
      </c>
      <c r="C24" s="365"/>
      <c r="D24" s="359">
        <v>44599564</v>
      </c>
      <c r="E24" s="359">
        <v>1163568</v>
      </c>
      <c r="F24" s="359">
        <v>1183175</v>
      </c>
      <c r="G24" s="359"/>
      <c r="H24" s="359"/>
      <c r="I24" s="372">
        <f t="shared" si="0"/>
        <v>46946307</v>
      </c>
      <c r="J24" s="365"/>
      <c r="K24" s="366"/>
      <c r="L24" s="366"/>
      <c r="M24" s="366"/>
      <c r="N24" s="370"/>
      <c r="O24" s="374"/>
      <c r="P24" s="372"/>
      <c r="Q24" s="375">
        <f t="shared" si="2"/>
        <v>46946307</v>
      </c>
      <c r="R24" s="362">
        <f t="shared" si="3"/>
        <v>2.7006470627740966</v>
      </c>
    </row>
    <row r="25" spans="1:18" s="198" customFormat="1" ht="12" thickBot="1" x14ac:dyDescent="0.25">
      <c r="A25" s="262" t="s">
        <v>489</v>
      </c>
      <c r="B25" s="364" t="s">
        <v>477</v>
      </c>
      <c r="C25" s="365"/>
      <c r="D25" s="359">
        <v>22480112</v>
      </c>
      <c r="E25" s="359">
        <v>522566</v>
      </c>
      <c r="F25" s="359">
        <v>787419</v>
      </c>
      <c r="G25" s="359"/>
      <c r="H25" s="359"/>
      <c r="I25" s="372">
        <f t="shared" si="0"/>
        <v>23790097</v>
      </c>
      <c r="J25" s="365"/>
      <c r="K25" s="366"/>
      <c r="L25" s="366"/>
      <c r="M25" s="366"/>
      <c r="N25" s="370"/>
      <c r="O25" s="374"/>
      <c r="P25" s="372"/>
      <c r="Q25" s="375">
        <f t="shared" si="2"/>
        <v>23790097</v>
      </c>
      <c r="R25" s="362">
        <f t="shared" si="3"/>
        <v>1.3685561163769677</v>
      </c>
    </row>
    <row r="26" spans="1:18" s="198" customFormat="1" ht="12" thickBot="1" x14ac:dyDescent="0.25">
      <c r="A26" s="262" t="s">
        <v>489</v>
      </c>
      <c r="B26" s="364" t="s">
        <v>478</v>
      </c>
      <c r="C26" s="365"/>
      <c r="D26" s="359">
        <v>59503973</v>
      </c>
      <c r="E26" s="359">
        <v>3394041</v>
      </c>
      <c r="F26" s="359">
        <v>29374074</v>
      </c>
      <c r="G26" s="359"/>
      <c r="H26" s="359">
        <v>459487</v>
      </c>
      <c r="I26" s="372">
        <f t="shared" si="0"/>
        <v>92731575</v>
      </c>
      <c r="J26" s="365"/>
      <c r="K26" s="366"/>
      <c r="L26" s="366"/>
      <c r="M26" s="366"/>
      <c r="N26" s="370"/>
      <c r="O26" s="374"/>
      <c r="P26" s="372"/>
      <c r="Q26" s="375">
        <f t="shared" si="2"/>
        <v>92731575</v>
      </c>
      <c r="R26" s="362">
        <f t="shared" si="3"/>
        <v>5.3345038545878776</v>
      </c>
    </row>
    <row r="27" spans="1:18" s="198" customFormat="1" ht="12" thickBot="1" x14ac:dyDescent="0.25">
      <c r="A27" s="262" t="s">
        <v>489</v>
      </c>
      <c r="B27" s="364" t="s">
        <v>479</v>
      </c>
      <c r="C27" s="365"/>
      <c r="D27" s="359">
        <v>27228562</v>
      </c>
      <c r="E27" s="359">
        <v>1068240</v>
      </c>
      <c r="F27" s="359">
        <v>5214289</v>
      </c>
      <c r="G27" s="359"/>
      <c r="H27" s="359">
        <v>1097983</v>
      </c>
      <c r="I27" s="372">
        <f t="shared" si="0"/>
        <v>34609074</v>
      </c>
      <c r="J27" s="365"/>
      <c r="K27" s="366"/>
      <c r="L27" s="366"/>
      <c r="M27" s="366"/>
      <c r="N27" s="370"/>
      <c r="O27" s="374"/>
      <c r="P27" s="372"/>
      <c r="Q27" s="375">
        <f t="shared" si="2"/>
        <v>34609074</v>
      </c>
      <c r="R27" s="362">
        <f t="shared" si="3"/>
        <v>1.9909317689979611</v>
      </c>
    </row>
    <row r="28" spans="1:18" s="198" customFormat="1" ht="12" thickBot="1" x14ac:dyDescent="0.25">
      <c r="A28" s="262" t="s">
        <v>489</v>
      </c>
      <c r="B28" s="364" t="s">
        <v>480</v>
      </c>
      <c r="C28" s="365"/>
      <c r="D28" s="359">
        <v>37528571</v>
      </c>
      <c r="E28" s="359">
        <v>121206</v>
      </c>
      <c r="F28" s="359">
        <v>5830405</v>
      </c>
      <c r="G28" s="359"/>
      <c r="H28" s="359">
        <v>245288</v>
      </c>
      <c r="I28" s="372">
        <f t="shared" si="0"/>
        <v>43725470</v>
      </c>
      <c r="J28" s="365"/>
      <c r="K28" s="366"/>
      <c r="L28" s="366"/>
      <c r="M28" s="366"/>
      <c r="N28" s="370"/>
      <c r="O28" s="374"/>
      <c r="P28" s="372"/>
      <c r="Q28" s="375">
        <f t="shared" si="2"/>
        <v>43725470</v>
      </c>
      <c r="R28" s="362">
        <f t="shared" si="3"/>
        <v>2.5153642463062513</v>
      </c>
    </row>
    <row r="29" spans="1:18" s="198" customFormat="1" ht="12" thickBot="1" x14ac:dyDescent="0.25">
      <c r="A29" s="262" t="s">
        <v>489</v>
      </c>
      <c r="B29" s="364" t="s">
        <v>481</v>
      </c>
      <c r="C29" s="365"/>
      <c r="D29" s="359">
        <v>32698774</v>
      </c>
      <c r="E29" s="359">
        <v>649387</v>
      </c>
      <c r="F29" s="359">
        <v>9604903</v>
      </c>
      <c r="G29" s="359"/>
      <c r="H29" s="359">
        <v>1346000</v>
      </c>
      <c r="I29" s="372">
        <f t="shared" si="0"/>
        <v>44299064</v>
      </c>
      <c r="J29" s="365"/>
      <c r="K29" s="366"/>
      <c r="L29" s="366"/>
      <c r="M29" s="366"/>
      <c r="N29" s="370"/>
      <c r="O29" s="374"/>
      <c r="P29" s="372"/>
      <c r="Q29" s="375">
        <f t="shared" si="2"/>
        <v>44299064</v>
      </c>
      <c r="R29" s="362">
        <f t="shared" si="3"/>
        <v>2.5483609834367109</v>
      </c>
    </row>
    <row r="30" spans="1:18" s="198" customFormat="1" ht="12" thickBot="1" x14ac:dyDescent="0.25">
      <c r="A30" s="262" t="s">
        <v>489</v>
      </c>
      <c r="B30" s="364" t="s">
        <v>482</v>
      </c>
      <c r="C30" s="365"/>
      <c r="D30" s="359">
        <v>42335045</v>
      </c>
      <c r="E30" s="359">
        <v>380871</v>
      </c>
      <c r="F30" s="359">
        <v>14362661</v>
      </c>
      <c r="G30" s="359"/>
      <c r="H30" s="359"/>
      <c r="I30" s="372">
        <f t="shared" si="0"/>
        <v>57078577</v>
      </c>
      <c r="J30" s="365"/>
      <c r="K30" s="366"/>
      <c r="L30" s="366"/>
      <c r="M30" s="366"/>
      <c r="N30" s="370"/>
      <c r="O30" s="374"/>
      <c r="P30" s="372"/>
      <c r="Q30" s="375">
        <f t="shared" si="2"/>
        <v>57078577</v>
      </c>
      <c r="R30" s="362">
        <f t="shared" si="3"/>
        <v>3.2835190065615838</v>
      </c>
    </row>
    <row r="31" spans="1:18" s="198" customFormat="1" ht="12" thickBot="1" x14ac:dyDescent="0.25">
      <c r="A31" s="262" t="s">
        <v>489</v>
      </c>
      <c r="B31" s="364" t="s">
        <v>483</v>
      </c>
      <c r="C31" s="365"/>
      <c r="D31" s="359">
        <v>14012851</v>
      </c>
      <c r="E31" s="359">
        <v>36722</v>
      </c>
      <c r="F31" s="359">
        <v>5141585</v>
      </c>
      <c r="G31" s="359"/>
      <c r="H31" s="359"/>
      <c r="I31" s="372">
        <f t="shared" si="0"/>
        <v>19191158</v>
      </c>
      <c r="J31" s="365"/>
      <c r="K31" s="366"/>
      <c r="L31" s="366"/>
      <c r="M31" s="366"/>
      <c r="N31" s="370"/>
      <c r="O31" s="374"/>
      <c r="P31" s="372"/>
      <c r="Q31" s="375">
        <f t="shared" si="2"/>
        <v>19191158</v>
      </c>
      <c r="R31" s="362">
        <f t="shared" si="3"/>
        <v>1.1039961989754299</v>
      </c>
    </row>
    <row r="32" spans="1:18" s="198" customFormat="1" ht="12" thickBot="1" x14ac:dyDescent="0.25">
      <c r="A32" s="262" t="s">
        <v>489</v>
      </c>
      <c r="B32" s="364" t="s">
        <v>484</v>
      </c>
      <c r="C32" s="365"/>
      <c r="D32" s="359">
        <v>10405021</v>
      </c>
      <c r="E32" s="359">
        <v>39433</v>
      </c>
      <c r="F32" s="359">
        <v>3257194</v>
      </c>
      <c r="G32" s="359"/>
      <c r="H32" s="359"/>
      <c r="I32" s="372">
        <f t="shared" si="0"/>
        <v>13701648</v>
      </c>
      <c r="J32" s="365"/>
      <c r="K32" s="366"/>
      <c r="L32" s="366"/>
      <c r="M32" s="366"/>
      <c r="N32" s="370"/>
      <c r="O32" s="374"/>
      <c r="P32" s="372"/>
      <c r="Q32" s="375">
        <f t="shared" si="2"/>
        <v>13701648</v>
      </c>
      <c r="R32" s="362">
        <f t="shared" si="3"/>
        <v>0.78820503232266115</v>
      </c>
    </row>
    <row r="33" spans="1:18" s="198" customFormat="1" ht="12" thickBot="1" x14ac:dyDescent="0.25">
      <c r="A33" s="262" t="s">
        <v>489</v>
      </c>
      <c r="B33" s="364" t="s">
        <v>485</v>
      </c>
      <c r="C33" s="365"/>
      <c r="D33" s="359">
        <v>19967302</v>
      </c>
      <c r="E33" s="359"/>
      <c r="F33" s="359">
        <v>5928788</v>
      </c>
      <c r="G33" s="359"/>
      <c r="H33" s="359">
        <v>648046</v>
      </c>
      <c r="I33" s="372">
        <f t="shared" si="0"/>
        <v>26544136</v>
      </c>
      <c r="J33" s="365"/>
      <c r="K33" s="366"/>
      <c r="L33" s="366"/>
      <c r="M33" s="366"/>
      <c r="N33" s="370"/>
      <c r="O33" s="374"/>
      <c r="P33" s="372"/>
      <c r="Q33" s="375">
        <f t="shared" si="2"/>
        <v>26544136</v>
      </c>
      <c r="R33" s="362">
        <f t="shared" si="3"/>
        <v>1.5269857738176544</v>
      </c>
    </row>
    <row r="34" spans="1:18" s="198" customFormat="1" ht="12" thickBot="1" x14ac:dyDescent="0.25">
      <c r="A34" s="262" t="s">
        <v>489</v>
      </c>
      <c r="B34" s="364" t="s">
        <v>486</v>
      </c>
      <c r="C34" s="365"/>
      <c r="D34" s="359">
        <v>12687895</v>
      </c>
      <c r="E34" s="359"/>
      <c r="F34" s="359">
        <v>3596355</v>
      </c>
      <c r="G34" s="359"/>
      <c r="H34" s="359">
        <v>200100</v>
      </c>
      <c r="I34" s="372">
        <f t="shared" si="0"/>
        <v>16484350</v>
      </c>
      <c r="J34" s="365"/>
      <c r="K34" s="366"/>
      <c r="L34" s="366"/>
      <c r="M34" s="366"/>
      <c r="N34" s="370"/>
      <c r="O34" s="374"/>
      <c r="P34" s="372"/>
      <c r="Q34" s="375">
        <f t="shared" si="2"/>
        <v>16484350</v>
      </c>
      <c r="R34" s="362">
        <f t="shared" si="3"/>
        <v>0.94828356593075969</v>
      </c>
    </row>
    <row r="35" spans="1:18" s="198" customFormat="1" ht="12" thickBot="1" x14ac:dyDescent="0.25">
      <c r="A35" s="262" t="s">
        <v>489</v>
      </c>
      <c r="B35" s="364" t="s">
        <v>487</v>
      </c>
      <c r="C35" s="365"/>
      <c r="D35" s="359">
        <v>7958279</v>
      </c>
      <c r="E35" s="359"/>
      <c r="F35" s="359">
        <v>2588271</v>
      </c>
      <c r="G35" s="359"/>
      <c r="H35" s="359">
        <v>16968</v>
      </c>
      <c r="I35" s="372">
        <f t="shared" si="0"/>
        <v>10563518</v>
      </c>
      <c r="J35" s="365"/>
      <c r="K35" s="366"/>
      <c r="L35" s="366"/>
      <c r="M35" s="366"/>
      <c r="N35" s="370"/>
      <c r="O35" s="374"/>
      <c r="P35" s="372"/>
      <c r="Q35" s="375">
        <f t="shared" si="2"/>
        <v>10563518</v>
      </c>
      <c r="R35" s="362">
        <f t="shared" si="3"/>
        <v>0.60768004305985779</v>
      </c>
    </row>
    <row r="36" spans="1:18" s="198" customFormat="1" ht="12" thickBot="1" x14ac:dyDescent="0.25">
      <c r="A36" s="262" t="s">
        <v>489</v>
      </c>
      <c r="B36" s="364" t="s">
        <v>488</v>
      </c>
      <c r="C36" s="365"/>
      <c r="D36" s="359">
        <v>12106036</v>
      </c>
      <c r="E36" s="359"/>
      <c r="F36" s="359">
        <v>6379862</v>
      </c>
      <c r="G36" s="366"/>
      <c r="H36" s="359">
        <v>317513</v>
      </c>
      <c r="I36" s="372">
        <f t="shared" si="0"/>
        <v>18803411</v>
      </c>
      <c r="J36" s="365"/>
      <c r="K36" s="366"/>
      <c r="L36" s="366"/>
      <c r="M36" s="366"/>
      <c r="N36" s="370"/>
      <c r="O36" s="374"/>
      <c r="P36" s="372"/>
      <c r="Q36" s="375">
        <f t="shared" si="2"/>
        <v>18803411</v>
      </c>
      <c r="R36" s="362">
        <f t="shared" si="3"/>
        <v>1.0816905510221315</v>
      </c>
    </row>
    <row r="37" spans="1:18" ht="21.75" customHeight="1" thickBot="1" x14ac:dyDescent="0.25">
      <c r="A37" s="272" t="s">
        <v>68</v>
      </c>
      <c r="B37" s="272" t="s">
        <v>68</v>
      </c>
      <c r="C37" s="273"/>
      <c r="D37" s="367">
        <f>SUM(D5:D36)</f>
        <v>1303977434</v>
      </c>
      <c r="E37" s="367">
        <f t="shared" ref="E37:H37" si="4">SUM(E5:E36)</f>
        <v>88584156</v>
      </c>
      <c r="F37" s="367">
        <f t="shared" si="4"/>
        <v>136350136</v>
      </c>
      <c r="G37" s="367">
        <f t="shared" si="4"/>
        <v>0</v>
      </c>
      <c r="H37" s="367">
        <f t="shared" si="4"/>
        <v>4778799</v>
      </c>
      <c r="I37" s="367">
        <f t="shared" ref="I37" si="5">SUM(I5:I36)</f>
        <v>1533690525</v>
      </c>
      <c r="J37" s="367">
        <f t="shared" ref="J37" si="6">SUM(J5:J36)</f>
        <v>0</v>
      </c>
      <c r="K37" s="367">
        <f t="shared" ref="K37" si="7">SUM(K5:K36)</f>
        <v>0</v>
      </c>
      <c r="L37" s="367">
        <f t="shared" ref="L37" si="8">SUM(L5:L36)</f>
        <v>153174097</v>
      </c>
      <c r="M37" s="367">
        <f t="shared" ref="M37" si="9">SUM(M5:M36)</f>
        <v>0</v>
      </c>
      <c r="N37" s="367">
        <f t="shared" ref="N37" si="10">SUM(N5:N36)</f>
        <v>153174097</v>
      </c>
      <c r="O37" s="367">
        <f t="shared" ref="O37" si="11">SUM(O5:O36)</f>
        <v>51470892</v>
      </c>
      <c r="P37" s="367">
        <f>SUM(P5:P36)</f>
        <v>51470892</v>
      </c>
      <c r="Q37" s="367">
        <f t="shared" ref="Q37" si="12">SUM(Q5:Q36)</f>
        <v>1738335514</v>
      </c>
      <c r="R37" s="367">
        <f t="shared" ref="R37" si="13">SUM(R5:R36)</f>
        <v>100.00000000000001</v>
      </c>
    </row>
    <row r="38" spans="1:18" x14ac:dyDescent="0.2">
      <c r="A38" s="163"/>
      <c r="B38" s="163"/>
      <c r="C38" s="164"/>
      <c r="D38" s="165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371"/>
      <c r="Q38" s="166"/>
      <c r="R38" s="166"/>
    </row>
  </sheetData>
  <mergeCells count="6">
    <mergeCell ref="A3:A4"/>
    <mergeCell ref="J3:N3"/>
    <mergeCell ref="O3:P3"/>
    <mergeCell ref="Q3:R3"/>
    <mergeCell ref="C3:I3"/>
    <mergeCell ref="B3:B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2020
INFORMACIÓN PARA LA COMISIÓN DE PRESUPUESTO Y CUENTA GENERAL DE LA REPÚBLICA DEL CONGRESO DE LA REPÚBLICA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H125"/>
  <sheetViews>
    <sheetView topLeftCell="A85" zoomScaleNormal="100" workbookViewId="0">
      <selection activeCell="A2" sqref="A2"/>
    </sheetView>
  </sheetViews>
  <sheetFormatPr baseColWidth="10" defaultColWidth="11.28515625" defaultRowHeight="12.75" x14ac:dyDescent="0.2"/>
  <cols>
    <col min="1" max="1" width="116.5703125" bestFit="1" customWidth="1"/>
    <col min="2" max="2" width="14.5703125" customWidth="1"/>
    <col min="3" max="3" width="13.140625" customWidth="1"/>
    <col min="4" max="4" width="13.42578125" customWidth="1"/>
    <col min="7" max="7" width="19.140625" customWidth="1"/>
  </cols>
  <sheetData>
    <row r="1" spans="1:4" x14ac:dyDescent="0.2">
      <c r="A1" s="147" t="s">
        <v>406</v>
      </c>
    </row>
    <row r="2" spans="1:4" x14ac:dyDescent="0.2">
      <c r="A2" s="149" t="s">
        <v>539</v>
      </c>
    </row>
    <row r="3" spans="1:4" s="188" customFormat="1" ht="28.35" customHeight="1" x14ac:dyDescent="0.2">
      <c r="A3" s="199" t="s">
        <v>337</v>
      </c>
      <c r="B3" s="200">
        <v>2019</v>
      </c>
      <c r="C3" s="200">
        <v>2020</v>
      </c>
      <c r="D3" s="200">
        <v>2021</v>
      </c>
    </row>
    <row r="4" spans="1:4" x14ac:dyDescent="0.2">
      <c r="A4" s="191" t="s">
        <v>325</v>
      </c>
      <c r="B4" s="357">
        <v>110628901</v>
      </c>
      <c r="C4" s="357">
        <v>100847938</v>
      </c>
      <c r="D4" s="357">
        <v>88225256</v>
      </c>
    </row>
    <row r="5" spans="1:4" s="192" customFormat="1" x14ac:dyDescent="0.2">
      <c r="A5" s="191" t="s">
        <v>326</v>
      </c>
      <c r="B5" s="357">
        <v>129447242</v>
      </c>
      <c r="C5" s="357">
        <v>80177929</v>
      </c>
      <c r="D5" s="357">
        <v>93677886</v>
      </c>
    </row>
    <row r="6" spans="1:4" s="192" customFormat="1" x14ac:dyDescent="0.2">
      <c r="A6" s="191" t="s">
        <v>327</v>
      </c>
      <c r="B6" s="357">
        <v>19083193</v>
      </c>
      <c r="C6" s="357">
        <v>16115206</v>
      </c>
      <c r="D6" s="357">
        <v>17953798</v>
      </c>
    </row>
    <row r="7" spans="1:4" s="192" customFormat="1" x14ac:dyDescent="0.2">
      <c r="A7" s="191" t="s">
        <v>328</v>
      </c>
      <c r="B7" s="357">
        <v>14166550</v>
      </c>
      <c r="C7" s="357">
        <v>13890493</v>
      </c>
      <c r="D7" s="357">
        <v>15932741</v>
      </c>
    </row>
    <row r="8" spans="1:4" s="192" customFormat="1" x14ac:dyDescent="0.2">
      <c r="A8" s="191" t="s">
        <v>329</v>
      </c>
      <c r="B8" s="357">
        <v>18791965</v>
      </c>
      <c r="C8" s="357">
        <v>21229854</v>
      </c>
      <c r="D8" s="357">
        <v>19423594</v>
      </c>
    </row>
    <row r="9" spans="1:4" s="192" customFormat="1" x14ac:dyDescent="0.2">
      <c r="A9" s="191" t="s">
        <v>330</v>
      </c>
      <c r="B9" s="357">
        <v>8886706</v>
      </c>
      <c r="C9" s="357">
        <v>7394982</v>
      </c>
      <c r="D9" s="357">
        <v>7905617</v>
      </c>
    </row>
    <row r="10" spans="1:4" s="192" customFormat="1" x14ac:dyDescent="0.2">
      <c r="A10" s="191" t="s">
        <v>331</v>
      </c>
      <c r="B10" s="357"/>
      <c r="C10" s="357"/>
    </row>
    <row r="11" spans="1:4" s="192" customFormat="1" x14ac:dyDescent="0.2">
      <c r="A11" s="191" t="s">
        <v>490</v>
      </c>
      <c r="B11" s="357">
        <v>0</v>
      </c>
      <c r="C11" s="357"/>
      <c r="D11" s="357"/>
    </row>
    <row r="12" spans="1:4" s="192" customFormat="1" x14ac:dyDescent="0.2">
      <c r="A12" s="191" t="s">
        <v>491</v>
      </c>
      <c r="B12" s="357">
        <v>3265500</v>
      </c>
      <c r="C12" s="357">
        <v>10974811</v>
      </c>
      <c r="D12" s="357">
        <v>7570326</v>
      </c>
    </row>
    <row r="13" spans="1:4" s="192" customFormat="1" x14ac:dyDescent="0.2">
      <c r="A13" s="191" t="s">
        <v>492</v>
      </c>
      <c r="B13" s="357">
        <v>1843393</v>
      </c>
      <c r="C13" s="357">
        <v>8845538</v>
      </c>
      <c r="D13" s="357"/>
    </row>
    <row r="14" spans="1:4" s="192" customFormat="1" x14ac:dyDescent="0.2">
      <c r="A14" s="191" t="s">
        <v>512</v>
      </c>
      <c r="B14" s="357"/>
      <c r="C14" s="357">
        <v>942254</v>
      </c>
      <c r="D14" s="357"/>
    </row>
    <row r="15" spans="1:4" s="192" customFormat="1" x14ac:dyDescent="0.2">
      <c r="A15" s="191" t="s">
        <v>493</v>
      </c>
      <c r="B15" s="357">
        <v>267148</v>
      </c>
      <c r="C15" s="357">
        <v>1934056</v>
      </c>
      <c r="D15" s="357">
        <v>3011681</v>
      </c>
    </row>
    <row r="16" spans="1:4" s="192" customFormat="1" x14ac:dyDescent="0.2">
      <c r="A16" s="191" t="s">
        <v>494</v>
      </c>
      <c r="B16" s="357">
        <v>6700664</v>
      </c>
      <c r="C16" s="357">
        <v>4550672</v>
      </c>
      <c r="D16" s="357">
        <v>4936800</v>
      </c>
    </row>
    <row r="17" spans="1:4" s="192" customFormat="1" x14ac:dyDescent="0.2">
      <c r="A17" s="191" t="s">
        <v>495</v>
      </c>
      <c r="B17" s="357">
        <v>0</v>
      </c>
      <c r="C17" s="357"/>
      <c r="D17" s="357"/>
    </row>
    <row r="18" spans="1:4" s="192" customFormat="1" x14ac:dyDescent="0.2">
      <c r="A18" s="191" t="s">
        <v>513</v>
      </c>
      <c r="B18" s="357"/>
      <c r="C18" s="357"/>
      <c r="D18" s="357"/>
    </row>
    <row r="19" spans="1:4" s="192" customFormat="1" x14ac:dyDescent="0.2">
      <c r="A19" s="191" t="s">
        <v>496</v>
      </c>
      <c r="B19" s="357">
        <v>0</v>
      </c>
      <c r="C19" s="357">
        <v>5310791</v>
      </c>
      <c r="D19" s="357">
        <v>12281220</v>
      </c>
    </row>
    <row r="20" spans="1:4" s="192" customFormat="1" x14ac:dyDescent="0.2">
      <c r="A20" s="191" t="s">
        <v>497</v>
      </c>
      <c r="B20" s="357">
        <v>15051686</v>
      </c>
      <c r="C20" s="357">
        <v>654281</v>
      </c>
      <c r="D20" s="357">
        <v>1435815</v>
      </c>
    </row>
    <row r="21" spans="1:4" s="192" customFormat="1" x14ac:dyDescent="0.2">
      <c r="A21" s="191" t="s">
        <v>498</v>
      </c>
      <c r="B21" s="357">
        <v>990370430</v>
      </c>
      <c r="C21" s="357">
        <v>1036446126</v>
      </c>
      <c r="D21" s="357">
        <v>992953936</v>
      </c>
    </row>
    <row r="22" spans="1:4" s="192" customFormat="1" x14ac:dyDescent="0.2">
      <c r="A22" s="191" t="s">
        <v>499</v>
      </c>
      <c r="B22" s="357">
        <v>42147542</v>
      </c>
      <c r="C22" s="357"/>
      <c r="D22" s="357"/>
    </row>
    <row r="23" spans="1:4" s="192" customFormat="1" x14ac:dyDescent="0.2">
      <c r="A23" s="191" t="s">
        <v>500</v>
      </c>
      <c r="B23" s="357">
        <v>200000</v>
      </c>
      <c r="C23" s="357"/>
      <c r="D23" s="358">
        <v>9064533</v>
      </c>
    </row>
    <row r="24" spans="1:4" s="192" customFormat="1" x14ac:dyDescent="0.2">
      <c r="A24" s="191" t="s">
        <v>501</v>
      </c>
      <c r="B24" s="357">
        <v>931560</v>
      </c>
      <c r="C24" s="357">
        <v>871223</v>
      </c>
      <c r="D24" s="357">
        <v>523855</v>
      </c>
    </row>
    <row r="25" spans="1:4" s="192" customFormat="1" x14ac:dyDescent="0.2">
      <c r="A25" s="191" t="s">
        <v>502</v>
      </c>
      <c r="B25" s="357">
        <v>7849624</v>
      </c>
      <c r="C25" s="357">
        <v>13046841</v>
      </c>
      <c r="D25" s="357">
        <v>8348294</v>
      </c>
    </row>
    <row r="26" spans="1:4" s="192" customFormat="1" x14ac:dyDescent="0.2">
      <c r="A26" s="191" t="s">
        <v>503</v>
      </c>
      <c r="B26" s="357">
        <v>4042502</v>
      </c>
      <c r="C26" s="357">
        <v>7416400</v>
      </c>
      <c r="D26" s="357">
        <v>4113784</v>
      </c>
    </row>
    <row r="27" spans="1:4" s="192" customFormat="1" x14ac:dyDescent="0.2">
      <c r="A27" s="191" t="s">
        <v>504</v>
      </c>
      <c r="B27" s="357">
        <v>14373688</v>
      </c>
      <c r="C27" s="357">
        <v>14982610</v>
      </c>
      <c r="D27" s="357">
        <v>15432484</v>
      </c>
    </row>
    <row r="28" spans="1:4" s="192" customFormat="1" x14ac:dyDescent="0.2">
      <c r="A28" s="191" t="s">
        <v>515</v>
      </c>
      <c r="B28" s="357"/>
      <c r="C28" s="357"/>
      <c r="D28" s="357">
        <v>181548</v>
      </c>
    </row>
    <row r="29" spans="1:4" s="192" customFormat="1" x14ac:dyDescent="0.2">
      <c r="A29" s="191" t="s">
        <v>505</v>
      </c>
      <c r="B29" s="357">
        <v>5745502</v>
      </c>
      <c r="C29" s="357">
        <v>5294044</v>
      </c>
      <c r="D29" s="357">
        <v>5026786</v>
      </c>
    </row>
    <row r="30" spans="1:4" s="192" customFormat="1" x14ac:dyDescent="0.2">
      <c r="A30" s="191" t="s">
        <v>506</v>
      </c>
      <c r="B30" s="357">
        <v>0</v>
      </c>
      <c r="C30" s="357"/>
      <c r="D30" s="357"/>
    </row>
    <row r="31" spans="1:4" s="192" customFormat="1" x14ac:dyDescent="0.2">
      <c r="A31" s="191" t="s">
        <v>507</v>
      </c>
      <c r="B31" s="357">
        <v>3052629</v>
      </c>
      <c r="C31" s="357">
        <v>2673548</v>
      </c>
      <c r="D31" s="357">
        <v>2864326</v>
      </c>
    </row>
    <row r="32" spans="1:4" s="192" customFormat="1" x14ac:dyDescent="0.2">
      <c r="A32" s="191" t="s">
        <v>508</v>
      </c>
      <c r="B32" s="357">
        <v>0</v>
      </c>
      <c r="C32" s="357"/>
      <c r="D32" s="357"/>
    </row>
    <row r="33" spans="1:8" s="192" customFormat="1" x14ac:dyDescent="0.2">
      <c r="A33" s="191" t="s">
        <v>509</v>
      </c>
      <c r="B33" s="357">
        <v>3511383</v>
      </c>
      <c r="C33" s="357">
        <v>7054705</v>
      </c>
      <c r="D33" s="357">
        <v>4930725</v>
      </c>
    </row>
    <row r="34" spans="1:8" s="192" customFormat="1" x14ac:dyDescent="0.2">
      <c r="A34" s="191" t="s">
        <v>510</v>
      </c>
      <c r="B34" s="357">
        <v>45443992</v>
      </c>
      <c r="C34" s="357">
        <v>86391117</v>
      </c>
      <c r="D34" s="357">
        <v>8219387</v>
      </c>
    </row>
    <row r="35" spans="1:8" s="192" customFormat="1" x14ac:dyDescent="0.2">
      <c r="A35" s="191" t="s">
        <v>511</v>
      </c>
      <c r="B35" s="357">
        <v>774612</v>
      </c>
      <c r="C35" s="357">
        <v>855563</v>
      </c>
      <c r="D35" s="357">
        <v>743800</v>
      </c>
    </row>
    <row r="36" spans="1:8" s="192" customFormat="1" x14ac:dyDescent="0.2">
      <c r="A36" s="191" t="s">
        <v>332</v>
      </c>
      <c r="B36" s="357">
        <v>0</v>
      </c>
      <c r="C36" s="357"/>
      <c r="D36" s="357"/>
    </row>
    <row r="37" spans="1:8" s="192" customFormat="1" x14ac:dyDescent="0.2">
      <c r="A37" s="191" t="s">
        <v>333</v>
      </c>
      <c r="B37" s="357"/>
      <c r="C37" s="357"/>
      <c r="D37" s="357"/>
    </row>
    <row r="38" spans="1:8" s="192" customFormat="1" x14ac:dyDescent="0.2">
      <c r="A38" s="191" t="s">
        <v>334</v>
      </c>
      <c r="B38" s="357">
        <v>0</v>
      </c>
      <c r="C38" s="357">
        <v>124907</v>
      </c>
      <c r="D38" s="357">
        <v>42957</v>
      </c>
    </row>
    <row r="39" spans="1:8" s="192" customFormat="1" x14ac:dyDescent="0.2">
      <c r="A39" s="191" t="s">
        <v>335</v>
      </c>
      <c r="B39" s="357"/>
      <c r="C39" s="357"/>
      <c r="D39" s="357"/>
    </row>
    <row r="40" spans="1:8" s="192" customFormat="1" x14ac:dyDescent="0.2">
      <c r="A40" s="191" t="s">
        <v>336</v>
      </c>
      <c r="B40" s="357"/>
      <c r="C40" s="357"/>
      <c r="D40" s="357"/>
    </row>
    <row r="41" spans="1:8" s="192" customFormat="1" x14ac:dyDescent="0.2">
      <c r="A41" s="191" t="s">
        <v>514</v>
      </c>
      <c r="B41" s="357"/>
      <c r="C41" s="357">
        <v>216587</v>
      </c>
      <c r="D41" s="357">
        <v>33859</v>
      </c>
    </row>
    <row r="42" spans="1:8" s="192" customFormat="1" x14ac:dyDescent="0.2">
      <c r="A42" s="191" t="s">
        <v>516</v>
      </c>
      <c r="B42" s="357"/>
      <c r="C42" s="357"/>
      <c r="D42" s="357">
        <v>299328</v>
      </c>
    </row>
    <row r="43" spans="1:8" s="196" customFormat="1" ht="22.5" customHeight="1" x14ac:dyDescent="0.2">
      <c r="A43" s="197" t="s">
        <v>313</v>
      </c>
      <c r="B43" s="368">
        <f>SUM(B4:B42)</f>
        <v>1446576412</v>
      </c>
      <c r="C43" s="368">
        <f t="shared" ref="C43:D43" si="0">SUM(C4:C42)</f>
        <v>1448242476</v>
      </c>
      <c r="D43" s="368">
        <f t="shared" si="0"/>
        <v>1325134336</v>
      </c>
      <c r="G43" s="192"/>
      <c r="H43" s="192"/>
    </row>
    <row r="44" spans="1:8" x14ac:dyDescent="0.2">
      <c r="G44" s="192"/>
      <c r="H44" s="192"/>
    </row>
    <row r="45" spans="1:8" s="188" customFormat="1" ht="28.35" customHeight="1" x14ac:dyDescent="0.2">
      <c r="A45" s="199" t="s">
        <v>338</v>
      </c>
      <c r="B45" s="200">
        <v>2019</v>
      </c>
      <c r="C45" s="200" t="s">
        <v>400</v>
      </c>
      <c r="D45" s="200" t="s">
        <v>401</v>
      </c>
      <c r="G45" s="192"/>
      <c r="H45" s="192"/>
    </row>
    <row r="46" spans="1:8" x14ac:dyDescent="0.2">
      <c r="A46" s="191" t="s">
        <v>325</v>
      </c>
      <c r="B46" s="357">
        <v>140963839</v>
      </c>
      <c r="C46" s="357">
        <v>123390951</v>
      </c>
      <c r="D46" s="189"/>
      <c r="G46" s="192"/>
      <c r="H46" s="192"/>
    </row>
    <row r="47" spans="1:8" x14ac:dyDescent="0.2">
      <c r="A47" s="191" t="s">
        <v>326</v>
      </c>
      <c r="B47" s="357">
        <v>203259281</v>
      </c>
      <c r="C47" s="357">
        <v>189810986</v>
      </c>
      <c r="D47" s="189"/>
      <c r="G47" s="192"/>
      <c r="H47" s="192"/>
    </row>
    <row r="48" spans="1:8" x14ac:dyDescent="0.2">
      <c r="A48" s="191" t="s">
        <v>327</v>
      </c>
      <c r="B48" s="357">
        <v>23060589</v>
      </c>
      <c r="C48" s="357">
        <v>22008710</v>
      </c>
      <c r="D48" s="189"/>
    </row>
    <row r="49" spans="1:4" x14ac:dyDescent="0.2">
      <c r="A49" s="191" t="s">
        <v>328</v>
      </c>
      <c r="B49" s="357">
        <v>17612017</v>
      </c>
      <c r="C49" s="357">
        <v>16659540</v>
      </c>
      <c r="D49" s="189"/>
    </row>
    <row r="50" spans="1:4" x14ac:dyDescent="0.2">
      <c r="A50" s="191" t="s">
        <v>329</v>
      </c>
      <c r="B50" s="357">
        <v>36679077</v>
      </c>
      <c r="C50" s="357">
        <v>26140175</v>
      </c>
      <c r="D50" s="189"/>
    </row>
    <row r="51" spans="1:4" x14ac:dyDescent="0.2">
      <c r="A51" s="191" t="s">
        <v>330</v>
      </c>
      <c r="B51" s="357">
        <v>11008548</v>
      </c>
      <c r="C51" s="357">
        <v>9179508</v>
      </c>
      <c r="D51" s="189"/>
    </row>
    <row r="52" spans="1:4" x14ac:dyDescent="0.2">
      <c r="A52" s="191" t="s">
        <v>331</v>
      </c>
      <c r="B52" s="357"/>
      <c r="C52" s="357"/>
      <c r="D52" s="189"/>
    </row>
    <row r="53" spans="1:4" x14ac:dyDescent="0.2">
      <c r="A53" s="191" t="s">
        <v>490</v>
      </c>
      <c r="B53" s="357">
        <v>30000</v>
      </c>
      <c r="C53" s="357"/>
      <c r="D53" s="189"/>
    </row>
    <row r="54" spans="1:4" x14ac:dyDescent="0.2">
      <c r="A54" s="191" t="s">
        <v>491</v>
      </c>
      <c r="B54" s="357">
        <v>32149489</v>
      </c>
      <c r="C54" s="357">
        <v>25468601</v>
      </c>
      <c r="D54" s="189"/>
    </row>
    <row r="55" spans="1:4" x14ac:dyDescent="0.2">
      <c r="A55" s="191" t="s">
        <v>492</v>
      </c>
      <c r="B55" s="357">
        <v>12178607</v>
      </c>
      <c r="C55" s="357">
        <v>4736240</v>
      </c>
      <c r="D55" s="189"/>
    </row>
    <row r="56" spans="1:4" x14ac:dyDescent="0.2">
      <c r="A56" s="191" t="s">
        <v>512</v>
      </c>
      <c r="B56" s="357"/>
      <c r="C56" s="357">
        <v>942254</v>
      </c>
      <c r="D56" s="189"/>
    </row>
    <row r="57" spans="1:4" x14ac:dyDescent="0.2">
      <c r="A57" s="191" t="s">
        <v>493</v>
      </c>
      <c r="B57" s="357">
        <v>941677</v>
      </c>
      <c r="C57" s="357">
        <v>517714</v>
      </c>
      <c r="D57" s="189"/>
    </row>
    <row r="58" spans="1:4" x14ac:dyDescent="0.2">
      <c r="A58" s="191" t="s">
        <v>494</v>
      </c>
      <c r="B58" s="357">
        <v>8830349</v>
      </c>
      <c r="C58" s="357">
        <v>7785685</v>
      </c>
      <c r="D58" s="189"/>
    </row>
    <row r="59" spans="1:4" x14ac:dyDescent="0.2">
      <c r="A59" s="191" t="s">
        <v>495</v>
      </c>
      <c r="B59" s="357">
        <v>1141089</v>
      </c>
      <c r="C59" s="357">
        <v>5129</v>
      </c>
      <c r="D59" s="189"/>
    </row>
    <row r="60" spans="1:4" x14ac:dyDescent="0.2">
      <c r="A60" s="191" t="s">
        <v>513</v>
      </c>
      <c r="B60" s="357"/>
      <c r="C60" s="357">
        <v>1808108</v>
      </c>
      <c r="D60" s="189"/>
    </row>
    <row r="61" spans="1:4" x14ac:dyDescent="0.2">
      <c r="A61" s="191" t="s">
        <v>496</v>
      </c>
      <c r="B61" s="357">
        <v>23419669</v>
      </c>
      <c r="C61" s="357">
        <v>16104479</v>
      </c>
      <c r="D61" s="189"/>
    </row>
    <row r="62" spans="1:4" x14ac:dyDescent="0.2">
      <c r="A62" s="191" t="s">
        <v>497</v>
      </c>
      <c r="B62" s="357">
        <v>24057913</v>
      </c>
      <c r="C62" s="357">
        <v>35973359</v>
      </c>
      <c r="D62" s="189"/>
    </row>
    <row r="63" spans="1:4" x14ac:dyDescent="0.2">
      <c r="A63" s="191" t="s">
        <v>498</v>
      </c>
      <c r="B63" s="357">
        <v>1155259226</v>
      </c>
      <c r="C63" s="357">
        <v>1240902858</v>
      </c>
      <c r="D63" s="189"/>
    </row>
    <row r="64" spans="1:4" x14ac:dyDescent="0.2">
      <c r="A64" s="191" t="s">
        <v>499</v>
      </c>
      <c r="B64" s="357">
        <v>42954988</v>
      </c>
      <c r="C64" s="357"/>
      <c r="D64" s="189"/>
    </row>
    <row r="65" spans="1:4" x14ac:dyDescent="0.2">
      <c r="A65" s="191" t="s">
        <v>500</v>
      </c>
      <c r="B65" s="189">
        <v>0</v>
      </c>
      <c r="C65" s="357"/>
      <c r="D65" s="189"/>
    </row>
    <row r="66" spans="1:4" x14ac:dyDescent="0.2">
      <c r="A66" s="191" t="s">
        <v>501</v>
      </c>
      <c r="B66" s="357">
        <v>1048332</v>
      </c>
      <c r="C66" s="357">
        <v>983315</v>
      </c>
      <c r="D66" s="189"/>
    </row>
    <row r="67" spans="1:4" x14ac:dyDescent="0.2">
      <c r="A67" s="191" t="s">
        <v>502</v>
      </c>
      <c r="B67" s="357">
        <v>10999161</v>
      </c>
      <c r="C67" s="357">
        <v>13437681</v>
      </c>
      <c r="D67" s="189"/>
    </row>
    <row r="68" spans="1:4" x14ac:dyDescent="0.2">
      <c r="A68" s="191" t="s">
        <v>503</v>
      </c>
      <c r="B68" s="357">
        <v>4902818</v>
      </c>
      <c r="C68" s="357">
        <v>9011329</v>
      </c>
      <c r="D68" s="189"/>
    </row>
    <row r="69" spans="1:4" x14ac:dyDescent="0.2">
      <c r="A69" s="191" t="s">
        <v>504</v>
      </c>
      <c r="B69" s="357">
        <v>18851037</v>
      </c>
      <c r="C69" s="357">
        <v>17178653</v>
      </c>
      <c r="D69" s="189"/>
    </row>
    <row r="70" spans="1:4" x14ac:dyDescent="0.2">
      <c r="A70" s="191" t="s">
        <v>505</v>
      </c>
      <c r="B70" s="357">
        <v>5909763</v>
      </c>
      <c r="C70" s="357">
        <v>5708124</v>
      </c>
      <c r="D70" s="189"/>
    </row>
    <row r="71" spans="1:4" x14ac:dyDescent="0.2">
      <c r="A71" s="191" t="s">
        <v>506</v>
      </c>
      <c r="B71" s="357">
        <v>132190</v>
      </c>
      <c r="C71" s="357">
        <v>245318</v>
      </c>
      <c r="D71" s="189"/>
    </row>
    <row r="72" spans="1:4" x14ac:dyDescent="0.2">
      <c r="A72" s="191" t="s">
        <v>507</v>
      </c>
      <c r="B72" s="357">
        <v>3304282</v>
      </c>
      <c r="C72" s="357">
        <v>3471092</v>
      </c>
      <c r="D72" s="189"/>
    </row>
    <row r="73" spans="1:4" x14ac:dyDescent="0.2">
      <c r="A73" s="191" t="s">
        <v>508</v>
      </c>
      <c r="B73" s="357">
        <v>30000</v>
      </c>
      <c r="C73" s="357"/>
      <c r="D73" s="189"/>
    </row>
    <row r="74" spans="1:4" s="192" customFormat="1" x14ac:dyDescent="0.2">
      <c r="A74" s="191" t="s">
        <v>509</v>
      </c>
      <c r="B74" s="357">
        <v>10545983</v>
      </c>
      <c r="C74" s="357">
        <v>9938167</v>
      </c>
      <c r="D74" s="191"/>
    </row>
    <row r="75" spans="1:4" s="192" customFormat="1" x14ac:dyDescent="0.2">
      <c r="A75" s="191" t="s">
        <v>510</v>
      </c>
      <c r="B75" s="357">
        <v>54080243</v>
      </c>
      <c r="C75" s="357">
        <v>132455585</v>
      </c>
      <c r="D75" s="191"/>
    </row>
    <row r="76" spans="1:4" s="192" customFormat="1" x14ac:dyDescent="0.2">
      <c r="A76" s="191" t="s">
        <v>511</v>
      </c>
      <c r="B76" s="357">
        <v>910780</v>
      </c>
      <c r="C76" s="357">
        <v>1043891</v>
      </c>
      <c r="D76" s="191"/>
    </row>
    <row r="77" spans="1:4" s="192" customFormat="1" x14ac:dyDescent="0.2">
      <c r="A77" s="191" t="s">
        <v>332</v>
      </c>
      <c r="B77" s="357"/>
      <c r="C77" s="357"/>
      <c r="D77" s="191"/>
    </row>
    <row r="78" spans="1:4" s="192" customFormat="1" x14ac:dyDescent="0.2">
      <c r="A78" s="191" t="s">
        <v>333</v>
      </c>
      <c r="B78" s="357"/>
      <c r="C78" s="357"/>
      <c r="D78" s="191"/>
    </row>
    <row r="79" spans="1:4" s="192" customFormat="1" x14ac:dyDescent="0.2">
      <c r="A79" s="191" t="s">
        <v>334</v>
      </c>
      <c r="B79" s="357">
        <v>398142</v>
      </c>
      <c r="C79" s="357">
        <v>14756293</v>
      </c>
      <c r="D79" s="191"/>
    </row>
    <row r="80" spans="1:4" s="192" customFormat="1" x14ac:dyDescent="0.2">
      <c r="A80" s="191" t="s">
        <v>335</v>
      </c>
      <c r="B80" s="357"/>
      <c r="C80" s="357"/>
      <c r="D80" s="191"/>
    </row>
    <row r="81" spans="1:4" s="192" customFormat="1" x14ac:dyDescent="0.2">
      <c r="A81" s="191" t="s">
        <v>336</v>
      </c>
      <c r="B81" s="357"/>
      <c r="D81" s="191"/>
    </row>
    <row r="82" spans="1:4" s="192" customFormat="1" x14ac:dyDescent="0.2">
      <c r="A82" s="191" t="s">
        <v>514</v>
      </c>
      <c r="B82" s="357"/>
      <c r="C82" s="357">
        <v>3707223</v>
      </c>
      <c r="D82" s="191"/>
    </row>
    <row r="83" spans="1:4" s="196" customFormat="1" ht="22.5" customHeight="1" x14ac:dyDescent="0.2">
      <c r="A83" s="197" t="s">
        <v>313</v>
      </c>
      <c r="B83" s="368">
        <f>SUM(B46:B82)</f>
        <v>1844659089</v>
      </c>
      <c r="C83" s="368">
        <f>SUM(C46:C82)</f>
        <v>1933370968</v>
      </c>
      <c r="D83" s="368">
        <f t="shared" ref="D83" si="1">SUM(D46:D81)</f>
        <v>0</v>
      </c>
    </row>
    <row r="85" spans="1:4" s="188" customFormat="1" ht="28.35" customHeight="1" x14ac:dyDescent="0.2">
      <c r="A85" s="199" t="s">
        <v>339</v>
      </c>
      <c r="B85" s="200">
        <v>2019</v>
      </c>
      <c r="C85" s="200" t="s">
        <v>400</v>
      </c>
      <c r="D85" s="200" t="s">
        <v>401</v>
      </c>
    </row>
    <row r="86" spans="1:4" x14ac:dyDescent="0.2">
      <c r="A86" s="191" t="s">
        <v>325</v>
      </c>
      <c r="B86" s="357">
        <v>132274511</v>
      </c>
      <c r="C86" s="357">
        <v>89782416</v>
      </c>
      <c r="D86" s="189"/>
    </row>
    <row r="87" spans="1:4" x14ac:dyDescent="0.2">
      <c r="A87" s="191" t="s">
        <v>326</v>
      </c>
      <c r="B87" s="357">
        <v>104593817</v>
      </c>
      <c r="C87" s="357">
        <v>75031628</v>
      </c>
      <c r="D87" s="189"/>
    </row>
    <row r="88" spans="1:4" x14ac:dyDescent="0.2">
      <c r="A88" s="191" t="s">
        <v>327</v>
      </c>
      <c r="B88" s="357">
        <v>22560175</v>
      </c>
      <c r="C88" s="357">
        <v>16154707</v>
      </c>
      <c r="D88" s="189"/>
    </row>
    <row r="89" spans="1:4" x14ac:dyDescent="0.2">
      <c r="A89" s="191" t="s">
        <v>328</v>
      </c>
      <c r="B89" s="357">
        <v>17049849</v>
      </c>
      <c r="C89" s="357">
        <v>12437342</v>
      </c>
      <c r="D89" s="189"/>
    </row>
    <row r="90" spans="1:4" x14ac:dyDescent="0.2">
      <c r="A90" s="191" t="s">
        <v>329</v>
      </c>
      <c r="B90" s="357">
        <v>34392870</v>
      </c>
      <c r="C90" s="357">
        <v>19187725</v>
      </c>
      <c r="D90" s="189"/>
    </row>
    <row r="91" spans="1:4" x14ac:dyDescent="0.2">
      <c r="A91" s="191" t="s">
        <v>330</v>
      </c>
      <c r="B91" s="357">
        <v>10711245</v>
      </c>
      <c r="C91" s="357">
        <v>6483190</v>
      </c>
      <c r="D91" s="189"/>
    </row>
    <row r="92" spans="1:4" x14ac:dyDescent="0.2">
      <c r="A92" s="191" t="s">
        <v>331</v>
      </c>
      <c r="B92" s="357"/>
      <c r="C92" s="357"/>
      <c r="D92" s="189"/>
    </row>
    <row r="93" spans="1:4" x14ac:dyDescent="0.2">
      <c r="A93" s="191" t="s">
        <v>490</v>
      </c>
      <c r="B93" s="357">
        <v>18000</v>
      </c>
      <c r="C93" s="357"/>
      <c r="D93" s="189"/>
    </row>
    <row r="94" spans="1:4" x14ac:dyDescent="0.2">
      <c r="A94" s="191" t="s">
        <v>491</v>
      </c>
      <c r="B94" s="357">
        <v>17749399</v>
      </c>
      <c r="C94" s="357">
        <v>6645537</v>
      </c>
      <c r="D94" s="189"/>
    </row>
    <row r="95" spans="1:4" x14ac:dyDescent="0.2">
      <c r="A95" s="191" t="s">
        <v>492</v>
      </c>
      <c r="B95" s="357">
        <v>6351365</v>
      </c>
      <c r="C95" s="357">
        <v>1255219</v>
      </c>
      <c r="D95" s="189"/>
    </row>
    <row r="96" spans="1:4" x14ac:dyDescent="0.2">
      <c r="A96" s="191" t="s">
        <v>512</v>
      </c>
      <c r="B96" s="357"/>
      <c r="C96" s="357">
        <v>186505</v>
      </c>
      <c r="D96" s="189"/>
    </row>
    <row r="97" spans="1:4" x14ac:dyDescent="0.2">
      <c r="A97" s="191" t="s">
        <v>493</v>
      </c>
      <c r="B97" s="357">
        <v>437382</v>
      </c>
      <c r="C97" s="357">
        <v>323137</v>
      </c>
      <c r="D97" s="189"/>
    </row>
    <row r="98" spans="1:4" x14ac:dyDescent="0.2">
      <c r="A98" s="191" t="s">
        <v>494</v>
      </c>
      <c r="B98" s="357">
        <v>7875539</v>
      </c>
      <c r="C98" s="357">
        <v>2590600</v>
      </c>
      <c r="D98" s="189"/>
    </row>
    <row r="99" spans="1:4" x14ac:dyDescent="0.2">
      <c r="A99" s="191" t="s">
        <v>495</v>
      </c>
      <c r="B99" s="357">
        <v>960045</v>
      </c>
      <c r="C99" s="357">
        <v>3490</v>
      </c>
      <c r="D99" s="189"/>
    </row>
    <row r="100" spans="1:4" x14ac:dyDescent="0.2">
      <c r="A100" s="191" t="s">
        <v>513</v>
      </c>
      <c r="B100" s="357"/>
      <c r="C100" s="357">
        <v>1197099</v>
      </c>
      <c r="D100" s="189"/>
    </row>
    <row r="101" spans="1:4" x14ac:dyDescent="0.2">
      <c r="A101" s="191" t="s">
        <v>496</v>
      </c>
      <c r="B101" s="357">
        <v>8201890</v>
      </c>
      <c r="C101" s="357">
        <v>5874248</v>
      </c>
      <c r="D101" s="189"/>
    </row>
    <row r="102" spans="1:4" x14ac:dyDescent="0.2">
      <c r="A102" s="191" t="s">
        <v>497</v>
      </c>
      <c r="B102" s="357">
        <v>8682235</v>
      </c>
      <c r="C102" s="357">
        <v>4433164</v>
      </c>
      <c r="D102" s="189"/>
    </row>
    <row r="103" spans="1:4" x14ac:dyDescent="0.2">
      <c r="A103" s="191" t="s">
        <v>498</v>
      </c>
      <c r="B103" s="357">
        <v>1137523462</v>
      </c>
      <c r="C103" s="357">
        <v>872253323</v>
      </c>
      <c r="D103" s="189"/>
    </row>
    <row r="104" spans="1:4" x14ac:dyDescent="0.2">
      <c r="A104" s="191" t="s">
        <v>499</v>
      </c>
      <c r="B104" s="357">
        <v>27485223</v>
      </c>
      <c r="C104" s="357"/>
      <c r="D104" s="189"/>
    </row>
    <row r="105" spans="1:4" x14ac:dyDescent="0.2">
      <c r="A105" s="191" t="s">
        <v>500</v>
      </c>
      <c r="B105" s="357">
        <v>0</v>
      </c>
      <c r="C105" s="357"/>
      <c r="D105" s="189"/>
    </row>
    <row r="106" spans="1:4" x14ac:dyDescent="0.2">
      <c r="A106" s="191" t="s">
        <v>501</v>
      </c>
      <c r="B106" s="357">
        <v>713755</v>
      </c>
      <c r="C106" s="357">
        <v>364296</v>
      </c>
      <c r="D106" s="189"/>
    </row>
    <row r="107" spans="1:4" x14ac:dyDescent="0.2">
      <c r="A107" s="191" t="s">
        <v>502</v>
      </c>
      <c r="B107" s="357">
        <v>8853697</v>
      </c>
      <c r="C107" s="357">
        <v>9963005</v>
      </c>
      <c r="D107" s="189"/>
    </row>
    <row r="108" spans="1:4" x14ac:dyDescent="0.2">
      <c r="A108" s="191" t="s">
        <v>503</v>
      </c>
      <c r="B108" s="357">
        <v>4802381</v>
      </c>
      <c r="C108" s="357">
        <v>3747539</v>
      </c>
      <c r="D108" s="189"/>
    </row>
    <row r="109" spans="1:4" x14ac:dyDescent="0.2">
      <c r="A109" s="191" t="s">
        <v>504</v>
      </c>
      <c r="B109" s="357">
        <v>17857930</v>
      </c>
      <c r="C109" s="357">
        <v>12360704</v>
      </c>
      <c r="D109" s="189"/>
    </row>
    <row r="110" spans="1:4" s="192" customFormat="1" x14ac:dyDescent="0.2">
      <c r="A110" s="191" t="s">
        <v>505</v>
      </c>
      <c r="B110" s="357">
        <v>5451240</v>
      </c>
      <c r="C110" s="357">
        <v>3610927</v>
      </c>
      <c r="D110" s="191"/>
    </row>
    <row r="111" spans="1:4" s="192" customFormat="1" x14ac:dyDescent="0.2">
      <c r="A111" s="191" t="s">
        <v>506</v>
      </c>
      <c r="B111" s="357">
        <v>101074</v>
      </c>
      <c r="C111" s="357">
        <v>46610</v>
      </c>
      <c r="D111" s="191"/>
    </row>
    <row r="112" spans="1:4" s="192" customFormat="1" x14ac:dyDescent="0.2">
      <c r="A112" s="191" t="s">
        <v>507</v>
      </c>
      <c r="B112" s="357">
        <v>3298181</v>
      </c>
      <c r="C112" s="357">
        <v>2631384</v>
      </c>
      <c r="D112" s="191"/>
    </row>
    <row r="113" spans="1:4" s="192" customFormat="1" x14ac:dyDescent="0.2">
      <c r="A113" s="191" t="s">
        <v>508</v>
      </c>
      <c r="B113" s="357">
        <v>30000</v>
      </c>
      <c r="C113" s="357"/>
      <c r="D113" s="191"/>
    </row>
    <row r="114" spans="1:4" s="192" customFormat="1" x14ac:dyDescent="0.2">
      <c r="A114" s="191" t="s">
        <v>509</v>
      </c>
      <c r="B114" s="357">
        <v>9320060</v>
      </c>
      <c r="C114" s="357">
        <v>5685895</v>
      </c>
      <c r="D114" s="191"/>
    </row>
    <row r="115" spans="1:4" s="192" customFormat="1" x14ac:dyDescent="0.2">
      <c r="A115" s="191" t="s">
        <v>510</v>
      </c>
      <c r="B115" s="357">
        <v>25170105</v>
      </c>
      <c r="C115" s="357">
        <v>6575064</v>
      </c>
      <c r="D115" s="191"/>
    </row>
    <row r="116" spans="1:4" s="192" customFormat="1" x14ac:dyDescent="0.2">
      <c r="A116" s="191" t="s">
        <v>511</v>
      </c>
      <c r="B116" s="357">
        <v>808375</v>
      </c>
      <c r="C116" s="357">
        <v>669921</v>
      </c>
      <c r="D116" s="191"/>
    </row>
    <row r="117" spans="1:4" s="192" customFormat="1" x14ac:dyDescent="0.2">
      <c r="A117" s="191" t="s">
        <v>332</v>
      </c>
      <c r="B117" s="357"/>
      <c r="C117" s="357"/>
      <c r="D117" s="191"/>
    </row>
    <row r="118" spans="1:4" s="192" customFormat="1" x14ac:dyDescent="0.2">
      <c r="A118" s="191" t="s">
        <v>333</v>
      </c>
      <c r="B118" s="357"/>
      <c r="C118" s="357"/>
      <c r="D118" s="191"/>
    </row>
    <row r="119" spans="1:4" s="192" customFormat="1" x14ac:dyDescent="0.2">
      <c r="A119" s="191" t="s">
        <v>334</v>
      </c>
      <c r="B119" s="357">
        <v>346988</v>
      </c>
      <c r="C119" s="357">
        <v>8129237</v>
      </c>
      <c r="D119" s="191"/>
    </row>
    <row r="120" spans="1:4" s="192" customFormat="1" x14ac:dyDescent="0.2">
      <c r="A120" s="191" t="s">
        <v>335</v>
      </c>
      <c r="B120" s="191"/>
      <c r="C120" s="357"/>
      <c r="D120" s="191"/>
    </row>
    <row r="121" spans="1:4" s="192" customFormat="1" x14ac:dyDescent="0.2">
      <c r="A121" s="191" t="s">
        <v>336</v>
      </c>
      <c r="B121" s="191"/>
      <c r="C121" s="357"/>
      <c r="D121" s="191"/>
    </row>
    <row r="122" spans="1:4" s="192" customFormat="1" x14ac:dyDescent="0.2">
      <c r="A122" s="191" t="s">
        <v>514</v>
      </c>
      <c r="B122" s="191"/>
      <c r="C122" s="357">
        <v>3039075</v>
      </c>
      <c r="D122" s="191"/>
    </row>
    <row r="123" spans="1:4" s="196" customFormat="1" ht="22.5" customHeight="1" x14ac:dyDescent="0.2">
      <c r="A123" s="197" t="s">
        <v>313</v>
      </c>
      <c r="B123" s="368">
        <f>SUM(B86:B122)</f>
        <v>1613620793</v>
      </c>
      <c r="C123" s="368">
        <f>SUM(C86:C122)</f>
        <v>1170662987</v>
      </c>
      <c r="D123" s="368">
        <f t="shared" ref="D123" si="2">SUM(D86:D121)</f>
        <v>0</v>
      </c>
    </row>
    <row r="124" spans="1:4" x14ac:dyDescent="0.2">
      <c r="A124" s="353" t="s">
        <v>402</v>
      </c>
    </row>
    <row r="125" spans="1:4" x14ac:dyDescent="0.2">
      <c r="A125" s="354" t="s">
        <v>403</v>
      </c>
    </row>
  </sheetData>
  <pageMargins left="0.46875" right="0.51181102362204722" top="0.74803149606299213" bottom="0.74803149606299213" header="0.31496062992125984" footer="0.31496062992125984"/>
  <pageSetup paperSize="9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>
    <tabColor theme="9" tint="-0.249977111117893"/>
  </sheetPr>
  <dimension ref="A1:N51"/>
  <sheetViews>
    <sheetView topLeftCell="A22" zoomScaleNormal="100" zoomScaleSheetLayoutView="70" zoomScalePageLayoutView="110" workbookViewId="0">
      <selection activeCell="I10" sqref="I10"/>
    </sheetView>
  </sheetViews>
  <sheetFormatPr baseColWidth="10" defaultColWidth="11.28515625" defaultRowHeight="11.25" x14ac:dyDescent="0.2"/>
  <cols>
    <col min="1" max="1" width="30.7109375" style="157" customWidth="1"/>
    <col min="2" max="2" width="12.140625" style="157" bestFit="1" customWidth="1"/>
    <col min="3" max="3" width="13.28515625" style="157" bestFit="1" customWidth="1"/>
    <col min="4" max="4" width="13.85546875" style="198" bestFit="1" customWidth="1"/>
    <col min="5" max="5" width="8.7109375" style="198" customWidth="1"/>
    <col min="6" max="6" width="13" style="157" bestFit="1" customWidth="1"/>
    <col min="7" max="7" width="13.28515625" style="157" bestFit="1" customWidth="1"/>
    <col min="8" max="8" width="13.85546875" style="157" bestFit="1" customWidth="1"/>
    <col min="9" max="14" width="8.7109375" style="157" customWidth="1"/>
    <col min="15" max="16384" width="11.28515625" style="157"/>
  </cols>
  <sheetData>
    <row r="1" spans="1:14" s="153" customFormat="1" ht="14.25" customHeight="1" x14ac:dyDescent="0.2">
      <c r="A1" s="274" t="s">
        <v>407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s="156" customFormat="1" ht="12" thickBot="1" x14ac:dyDescent="0.25">
      <c r="A2" s="149" t="s">
        <v>538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4" s="158" customFormat="1" ht="12.75" customHeight="1" thickBot="1" x14ac:dyDescent="0.25">
      <c r="A3" s="544" t="s">
        <v>195</v>
      </c>
      <c r="B3" s="542" t="s">
        <v>225</v>
      </c>
      <c r="C3" s="543"/>
      <c r="D3" s="543"/>
      <c r="E3" s="543"/>
      <c r="F3" s="539" t="s">
        <v>226</v>
      </c>
      <c r="G3" s="540"/>
      <c r="H3" s="541"/>
      <c r="I3" s="539" t="s">
        <v>224</v>
      </c>
      <c r="J3" s="540"/>
      <c r="K3" s="540"/>
      <c r="L3" s="540"/>
      <c r="M3" s="540"/>
      <c r="N3" s="541"/>
    </row>
    <row r="4" spans="1:14" s="173" customFormat="1" ht="84.95" customHeight="1" thickBot="1" x14ac:dyDescent="0.25">
      <c r="A4" s="545"/>
      <c r="B4" s="276">
        <v>2019</v>
      </c>
      <c r="C4" s="277">
        <v>2020</v>
      </c>
      <c r="D4" s="277" t="s">
        <v>408</v>
      </c>
      <c r="E4" s="279" t="s">
        <v>409</v>
      </c>
      <c r="F4" s="276">
        <v>2019</v>
      </c>
      <c r="G4" s="277">
        <v>2020</v>
      </c>
      <c r="H4" s="277" t="s">
        <v>408</v>
      </c>
      <c r="I4" s="276">
        <v>2019</v>
      </c>
      <c r="J4" s="277" t="s">
        <v>400</v>
      </c>
      <c r="K4" s="277" t="s">
        <v>408</v>
      </c>
      <c r="L4" s="278" t="s">
        <v>410</v>
      </c>
      <c r="M4" s="278" t="s">
        <v>409</v>
      </c>
      <c r="N4" s="279" t="s">
        <v>411</v>
      </c>
    </row>
    <row r="5" spans="1:14" x14ac:dyDescent="0.2">
      <c r="A5" s="280"/>
      <c r="B5" s="281"/>
      <c r="C5" s="282"/>
      <c r="D5" s="282"/>
      <c r="E5" s="283"/>
      <c r="F5" s="281"/>
      <c r="G5" s="282"/>
      <c r="H5" s="284"/>
      <c r="I5" s="281"/>
      <c r="J5" s="282"/>
      <c r="K5" s="284"/>
      <c r="L5" s="283"/>
      <c r="M5" s="283"/>
      <c r="N5" s="284"/>
    </row>
    <row r="6" spans="1:14" ht="22.5" x14ac:dyDescent="0.2">
      <c r="A6" s="285" t="s">
        <v>223</v>
      </c>
      <c r="B6" s="286"/>
      <c r="C6" s="287"/>
      <c r="D6" s="287"/>
      <c r="E6" s="288"/>
      <c r="F6" s="286"/>
      <c r="G6" s="287"/>
      <c r="H6" s="289"/>
      <c r="I6" s="286"/>
      <c r="J6" s="287"/>
      <c r="K6" s="289"/>
      <c r="L6" s="288"/>
      <c r="M6" s="288"/>
      <c r="N6" s="289"/>
    </row>
    <row r="7" spans="1:14" x14ac:dyDescent="0.2">
      <c r="A7" s="290" t="s">
        <v>196</v>
      </c>
      <c r="B7" s="291"/>
      <c r="C7" s="292"/>
      <c r="D7" s="292"/>
      <c r="E7" s="293"/>
      <c r="F7" s="291"/>
      <c r="G7" s="292"/>
      <c r="H7" s="294"/>
      <c r="I7" s="291"/>
      <c r="J7" s="292"/>
      <c r="K7" s="294"/>
      <c r="L7" s="293"/>
      <c r="M7" s="293"/>
      <c r="N7" s="294"/>
    </row>
    <row r="8" spans="1:14" s="158" customFormat="1" x14ac:dyDescent="0.2">
      <c r="A8" s="295"/>
      <c r="B8" s="291"/>
      <c r="C8" s="292"/>
      <c r="D8" s="292"/>
      <c r="E8" s="293"/>
      <c r="F8" s="291"/>
      <c r="G8" s="292"/>
      <c r="H8" s="294"/>
      <c r="I8" s="291"/>
      <c r="J8" s="292"/>
      <c r="K8" s="294"/>
      <c r="L8" s="293"/>
      <c r="M8" s="293"/>
      <c r="N8" s="294"/>
    </row>
    <row r="9" spans="1:14" x14ac:dyDescent="0.2">
      <c r="A9" s="285" t="s">
        <v>199</v>
      </c>
      <c r="B9" s="291"/>
      <c r="C9" s="292"/>
      <c r="D9" s="292"/>
      <c r="E9" s="293"/>
      <c r="F9" s="291"/>
      <c r="G9" s="292"/>
      <c r="H9" s="294"/>
      <c r="I9" s="291"/>
      <c r="J9" s="292"/>
      <c r="K9" s="294"/>
      <c r="L9" s="293"/>
      <c r="M9" s="293"/>
      <c r="N9" s="294"/>
    </row>
    <row r="10" spans="1:14" x14ac:dyDescent="0.2">
      <c r="A10" s="296" t="s">
        <v>520</v>
      </c>
      <c r="B10" s="402">
        <v>7849624</v>
      </c>
      <c r="C10" s="403">
        <v>13046841</v>
      </c>
      <c r="D10" s="403">
        <f>+B10-C10</f>
        <v>-5197217</v>
      </c>
      <c r="E10" s="404"/>
      <c r="F10" s="402">
        <v>10842993</v>
      </c>
      <c r="G10" s="403">
        <v>13437681</v>
      </c>
      <c r="H10" s="405">
        <f>+F10-G10</f>
        <v>-2594688</v>
      </c>
      <c r="I10" s="402"/>
      <c r="J10" s="403"/>
      <c r="K10" s="405"/>
      <c r="L10" s="404"/>
      <c r="M10" s="293"/>
      <c r="N10" s="294"/>
    </row>
    <row r="11" spans="1:14" x14ac:dyDescent="0.2">
      <c r="A11" s="296" t="s">
        <v>197</v>
      </c>
      <c r="B11" s="402">
        <v>75087952</v>
      </c>
      <c r="C11" s="403">
        <v>80177929</v>
      </c>
      <c r="D11" s="403">
        <f>+B11-C11</f>
        <v>-5089977</v>
      </c>
      <c r="E11" s="404"/>
      <c r="F11" s="402">
        <v>85687703</v>
      </c>
      <c r="G11" s="403">
        <v>189810986</v>
      </c>
      <c r="H11" s="405">
        <f>+F11-G11</f>
        <v>-104123283</v>
      </c>
      <c r="I11" s="402"/>
      <c r="J11" s="403"/>
      <c r="K11" s="405"/>
      <c r="L11" s="404"/>
      <c r="M11" s="293"/>
      <c r="N11" s="294"/>
    </row>
    <row r="12" spans="1:14" x14ac:dyDescent="0.2">
      <c r="A12" s="296" t="s">
        <v>519</v>
      </c>
      <c r="B12" s="402"/>
      <c r="C12" s="403"/>
      <c r="D12" s="403"/>
      <c r="E12" s="404"/>
      <c r="F12" s="402"/>
      <c r="G12" s="403"/>
      <c r="H12" s="405"/>
      <c r="I12" s="402"/>
      <c r="J12" s="403"/>
      <c r="K12" s="405"/>
      <c r="L12" s="404"/>
      <c r="M12" s="293"/>
      <c r="N12" s="294"/>
    </row>
    <row r="13" spans="1:14" x14ac:dyDescent="0.2">
      <c r="A13" s="296" t="s">
        <v>198</v>
      </c>
      <c r="B13" s="402"/>
      <c r="C13" s="403"/>
      <c r="D13" s="403"/>
      <c r="E13" s="404"/>
      <c r="F13" s="402"/>
      <c r="G13" s="403"/>
      <c r="H13" s="405"/>
      <c r="I13" s="402"/>
      <c r="J13" s="403"/>
      <c r="K13" s="405"/>
      <c r="L13" s="404"/>
      <c r="M13" s="293"/>
      <c r="N13" s="294"/>
    </row>
    <row r="14" spans="1:14" x14ac:dyDescent="0.2">
      <c r="A14" s="296"/>
      <c r="B14" s="406"/>
      <c r="C14" s="407"/>
      <c r="D14" s="407"/>
      <c r="E14" s="408"/>
      <c r="F14" s="406"/>
      <c r="G14" s="407"/>
      <c r="H14" s="409"/>
      <c r="I14" s="406"/>
      <c r="J14" s="407"/>
      <c r="K14" s="409"/>
      <c r="L14" s="408"/>
      <c r="M14" s="288"/>
      <c r="N14" s="289"/>
    </row>
    <row r="15" spans="1:14" x14ac:dyDescent="0.2">
      <c r="A15" s="285" t="s">
        <v>217</v>
      </c>
      <c r="B15" s="402"/>
      <c r="C15" s="403"/>
      <c r="D15" s="403"/>
      <c r="E15" s="404"/>
      <c r="F15" s="402"/>
      <c r="G15" s="403"/>
      <c r="H15" s="405"/>
      <c r="I15" s="402"/>
      <c r="J15" s="403"/>
      <c r="K15" s="405"/>
      <c r="L15" s="404"/>
      <c r="M15" s="293"/>
      <c r="N15" s="294"/>
    </row>
    <row r="16" spans="1:14" x14ac:dyDescent="0.2">
      <c r="A16" s="296" t="s">
        <v>518</v>
      </c>
      <c r="B16" s="402">
        <v>106598245</v>
      </c>
      <c r="C16" s="403">
        <v>100847938</v>
      </c>
      <c r="D16" s="403">
        <f>+B16-C16</f>
        <v>5750307</v>
      </c>
      <c r="E16" s="404"/>
      <c r="F16" s="402">
        <v>121397323</v>
      </c>
      <c r="G16" s="403">
        <v>123390951</v>
      </c>
      <c r="H16" s="405">
        <f>+F16-G16</f>
        <v>-1993628</v>
      </c>
      <c r="I16" s="402"/>
      <c r="J16" s="403"/>
      <c r="K16" s="405"/>
      <c r="L16" s="404"/>
      <c r="M16" s="293"/>
      <c r="N16" s="294"/>
    </row>
    <row r="17" spans="1:14" x14ac:dyDescent="0.2">
      <c r="A17" s="296" t="s">
        <v>200</v>
      </c>
      <c r="B17" s="402"/>
      <c r="C17" s="403"/>
      <c r="D17" s="403"/>
      <c r="E17" s="404"/>
      <c r="F17" s="402"/>
      <c r="G17" s="403"/>
      <c r="H17" s="405"/>
      <c r="I17" s="402"/>
      <c r="J17" s="403"/>
      <c r="K17" s="405"/>
      <c r="L17" s="404"/>
      <c r="M17" s="293"/>
      <c r="N17" s="294"/>
    </row>
    <row r="18" spans="1:14" x14ac:dyDescent="0.2">
      <c r="A18" s="296" t="s">
        <v>201</v>
      </c>
      <c r="B18" s="402"/>
      <c r="C18" s="403"/>
      <c r="D18" s="403"/>
      <c r="E18" s="404"/>
      <c r="F18" s="402"/>
      <c r="G18" s="403"/>
      <c r="H18" s="405"/>
      <c r="I18" s="402"/>
      <c r="J18" s="403"/>
      <c r="K18" s="405"/>
      <c r="L18" s="404"/>
      <c r="M18" s="293"/>
      <c r="N18" s="294"/>
    </row>
    <row r="19" spans="1:14" x14ac:dyDescent="0.2">
      <c r="A19" s="296" t="s">
        <v>202</v>
      </c>
      <c r="B19" s="402"/>
      <c r="C19" s="403"/>
      <c r="D19" s="403"/>
      <c r="E19" s="404"/>
      <c r="F19" s="402"/>
      <c r="G19" s="403"/>
      <c r="H19" s="405"/>
      <c r="I19" s="402"/>
      <c r="J19" s="403"/>
      <c r="K19" s="405"/>
      <c r="L19" s="404"/>
      <c r="M19" s="293"/>
      <c r="N19" s="294"/>
    </row>
    <row r="20" spans="1:14" ht="22.5" x14ac:dyDescent="0.2">
      <c r="A20" s="296" t="s">
        <v>203</v>
      </c>
      <c r="B20" s="402"/>
      <c r="C20" s="403"/>
      <c r="D20" s="403"/>
      <c r="E20" s="404"/>
      <c r="F20" s="402"/>
      <c r="G20" s="403"/>
      <c r="H20" s="405"/>
      <c r="I20" s="402"/>
      <c r="J20" s="403"/>
      <c r="K20" s="405"/>
      <c r="L20" s="404"/>
      <c r="M20" s="293"/>
      <c r="N20" s="294"/>
    </row>
    <row r="21" spans="1:14" x14ac:dyDescent="0.2">
      <c r="A21" s="297"/>
      <c r="B21" s="402"/>
      <c r="C21" s="403"/>
      <c r="D21" s="403"/>
      <c r="E21" s="404"/>
      <c r="F21" s="402"/>
      <c r="G21" s="403"/>
      <c r="H21" s="405"/>
      <c r="I21" s="402"/>
      <c r="J21" s="403"/>
      <c r="K21" s="405"/>
      <c r="L21" s="404"/>
      <c r="M21" s="293"/>
      <c r="N21" s="294"/>
    </row>
    <row r="22" spans="1:14" x14ac:dyDescent="0.2">
      <c r="A22" s="298" t="s">
        <v>218</v>
      </c>
      <c r="B22" s="402"/>
      <c r="C22" s="403"/>
      <c r="D22" s="403"/>
      <c r="E22" s="404"/>
      <c r="F22" s="402"/>
      <c r="G22" s="403"/>
      <c r="H22" s="405"/>
      <c r="I22" s="402"/>
      <c r="J22" s="403"/>
      <c r="K22" s="405"/>
      <c r="L22" s="404"/>
      <c r="M22" s="293"/>
      <c r="N22" s="294"/>
    </row>
    <row r="23" spans="1:14" x14ac:dyDescent="0.2">
      <c r="A23" s="296" t="s">
        <v>204</v>
      </c>
      <c r="B23" s="410">
        <v>952539791</v>
      </c>
      <c r="C23" s="410">
        <v>216587</v>
      </c>
      <c r="D23" s="403">
        <f t="shared" ref="D23:D24" si="0">+B23-C23</f>
        <v>952323204</v>
      </c>
      <c r="E23" s="410"/>
      <c r="F23" s="410">
        <v>1133048375</v>
      </c>
      <c r="G23" s="403">
        <v>3707223</v>
      </c>
      <c r="H23" s="405">
        <f t="shared" ref="H23:H24" si="1">+F23-G23</f>
        <v>1129341152</v>
      </c>
      <c r="I23" s="402"/>
      <c r="J23" s="403"/>
      <c r="K23" s="405"/>
      <c r="L23" s="404"/>
      <c r="M23" s="293"/>
      <c r="N23" s="294"/>
    </row>
    <row r="24" spans="1:14" x14ac:dyDescent="0.2">
      <c r="A24" s="296" t="s">
        <v>205</v>
      </c>
      <c r="B24" s="402">
        <v>6217216</v>
      </c>
      <c r="C24" s="403">
        <v>1036446126</v>
      </c>
      <c r="D24" s="403">
        <f t="shared" si="0"/>
        <v>-1030228910</v>
      </c>
      <c r="E24" s="404"/>
      <c r="F24" s="402">
        <v>10153967</v>
      </c>
      <c r="G24" s="403">
        <v>1241264298</v>
      </c>
      <c r="H24" s="405">
        <f t="shared" si="1"/>
        <v>-1231110331</v>
      </c>
      <c r="I24" s="402"/>
      <c r="J24" s="403"/>
      <c r="K24" s="405"/>
      <c r="L24" s="404"/>
      <c r="M24" s="293"/>
      <c r="N24" s="294"/>
    </row>
    <row r="25" spans="1:14" x14ac:dyDescent="0.2">
      <c r="A25" s="296" t="s">
        <v>206</v>
      </c>
      <c r="B25" s="402"/>
      <c r="C25" s="403"/>
      <c r="D25" s="403"/>
      <c r="E25" s="404"/>
      <c r="F25" s="402"/>
      <c r="G25" s="403"/>
      <c r="H25" s="405"/>
      <c r="I25" s="402"/>
      <c r="J25" s="403"/>
      <c r="K25" s="405"/>
      <c r="L25" s="404"/>
      <c r="M25" s="293"/>
      <c r="N25" s="294"/>
    </row>
    <row r="26" spans="1:14" x14ac:dyDescent="0.2">
      <c r="A26" s="296"/>
      <c r="B26" s="402"/>
      <c r="C26" s="403"/>
      <c r="D26" s="403"/>
      <c r="E26" s="404"/>
      <c r="F26" s="402"/>
      <c r="G26" s="403"/>
      <c r="H26" s="405"/>
      <c r="I26" s="402"/>
      <c r="J26" s="403"/>
      <c r="K26" s="405"/>
      <c r="L26" s="404"/>
      <c r="M26" s="293"/>
      <c r="N26" s="294"/>
    </row>
    <row r="27" spans="1:14" x14ac:dyDescent="0.2">
      <c r="A27" s="298" t="s">
        <v>219</v>
      </c>
      <c r="B27" s="402"/>
      <c r="C27" s="403"/>
      <c r="D27" s="403"/>
      <c r="E27" s="404"/>
      <c r="F27" s="402"/>
      <c r="G27" s="403"/>
      <c r="H27" s="405"/>
      <c r="I27" s="402"/>
      <c r="J27" s="403"/>
      <c r="K27" s="405"/>
      <c r="L27" s="404"/>
      <c r="M27" s="293"/>
      <c r="N27" s="294"/>
    </row>
    <row r="28" spans="1:14" x14ac:dyDescent="0.2">
      <c r="A28" s="296" t="s">
        <v>207</v>
      </c>
      <c r="B28" s="402"/>
      <c r="C28" s="403"/>
      <c r="D28" s="403"/>
      <c r="E28" s="404"/>
      <c r="F28" s="402"/>
      <c r="G28" s="403"/>
      <c r="H28" s="405"/>
      <c r="I28" s="402"/>
      <c r="J28" s="403"/>
      <c r="K28" s="405"/>
      <c r="L28" s="404"/>
      <c r="M28" s="293"/>
      <c r="N28" s="294"/>
    </row>
    <row r="29" spans="1:14" x14ac:dyDescent="0.2">
      <c r="A29" s="296" t="s">
        <v>205</v>
      </c>
      <c r="B29" s="402"/>
      <c r="C29" s="403"/>
      <c r="D29" s="403"/>
      <c r="E29" s="404"/>
      <c r="F29" s="402"/>
      <c r="G29" s="403"/>
      <c r="H29" s="405"/>
      <c r="I29" s="402"/>
      <c r="J29" s="403"/>
      <c r="K29" s="405"/>
      <c r="L29" s="404"/>
      <c r="M29" s="293"/>
      <c r="N29" s="294"/>
    </row>
    <row r="30" spans="1:14" x14ac:dyDescent="0.2">
      <c r="A30" s="296"/>
      <c r="B30" s="402"/>
      <c r="C30" s="403"/>
      <c r="D30" s="403"/>
      <c r="E30" s="404"/>
      <c r="F30" s="402"/>
      <c r="G30" s="403"/>
      <c r="H30" s="405"/>
      <c r="I30" s="402"/>
      <c r="J30" s="403"/>
      <c r="K30" s="405"/>
      <c r="L30" s="404"/>
      <c r="M30" s="293"/>
      <c r="N30" s="294"/>
    </row>
    <row r="31" spans="1:14" x14ac:dyDescent="0.2">
      <c r="A31" s="298" t="s">
        <v>220</v>
      </c>
      <c r="B31" s="291"/>
      <c r="C31" s="292"/>
      <c r="D31" s="292"/>
      <c r="E31" s="293"/>
      <c r="F31" s="291"/>
      <c r="G31" s="292"/>
      <c r="H31" s="294"/>
      <c r="I31" s="291"/>
      <c r="J31" s="292"/>
      <c r="K31" s="294"/>
      <c r="L31" s="293"/>
      <c r="M31" s="293"/>
      <c r="N31" s="294"/>
    </row>
    <row r="32" spans="1:14" x14ac:dyDescent="0.2">
      <c r="A32" s="296" t="s">
        <v>208</v>
      </c>
      <c r="B32" s="291"/>
      <c r="C32" s="292"/>
      <c r="D32" s="292"/>
      <c r="E32" s="293"/>
      <c r="F32" s="291"/>
      <c r="G32" s="292"/>
      <c r="H32" s="294"/>
      <c r="I32" s="291"/>
      <c r="J32" s="292"/>
      <c r="K32" s="294"/>
      <c r="L32" s="293"/>
      <c r="M32" s="293"/>
      <c r="N32" s="294"/>
    </row>
    <row r="33" spans="1:14" x14ac:dyDescent="0.2">
      <c r="A33" s="296" t="s">
        <v>206</v>
      </c>
      <c r="B33" s="291"/>
      <c r="C33" s="292"/>
      <c r="D33" s="292"/>
      <c r="E33" s="293"/>
      <c r="F33" s="291"/>
      <c r="G33" s="292"/>
      <c r="H33" s="294"/>
      <c r="I33" s="291"/>
      <c r="J33" s="292"/>
      <c r="K33" s="294"/>
      <c r="L33" s="293"/>
      <c r="M33" s="293"/>
      <c r="N33" s="294"/>
    </row>
    <row r="34" spans="1:14" x14ac:dyDescent="0.2">
      <c r="A34" s="296" t="s">
        <v>209</v>
      </c>
      <c r="B34" s="291"/>
      <c r="C34" s="292"/>
      <c r="D34" s="292"/>
      <c r="E34" s="293"/>
      <c r="F34" s="291"/>
      <c r="G34" s="292"/>
      <c r="H34" s="294"/>
      <c r="I34" s="291"/>
      <c r="J34" s="292"/>
      <c r="K34" s="294"/>
      <c r="L34" s="293"/>
      <c r="M34" s="293"/>
      <c r="N34" s="294"/>
    </row>
    <row r="35" spans="1:14" x14ac:dyDescent="0.2">
      <c r="A35" s="296" t="s">
        <v>210</v>
      </c>
      <c r="B35" s="291"/>
      <c r="C35" s="292"/>
      <c r="D35" s="292"/>
      <c r="E35" s="293"/>
      <c r="F35" s="291"/>
      <c r="G35" s="292"/>
      <c r="H35" s="294"/>
      <c r="I35" s="291"/>
      <c r="J35" s="292"/>
      <c r="K35" s="294"/>
      <c r="L35" s="293"/>
      <c r="M35" s="293"/>
      <c r="N35" s="294"/>
    </row>
    <row r="36" spans="1:14" x14ac:dyDescent="0.2">
      <c r="A36" s="296"/>
      <c r="B36" s="291"/>
      <c r="C36" s="292"/>
      <c r="D36" s="292"/>
      <c r="E36" s="293"/>
      <c r="F36" s="291"/>
      <c r="G36" s="292"/>
      <c r="H36" s="294"/>
      <c r="I36" s="291"/>
      <c r="J36" s="292"/>
      <c r="K36" s="294"/>
      <c r="L36" s="293"/>
      <c r="M36" s="293"/>
      <c r="N36" s="294"/>
    </row>
    <row r="37" spans="1:14" x14ac:dyDescent="0.2">
      <c r="A37" s="298" t="s">
        <v>221</v>
      </c>
      <c r="B37" s="291"/>
      <c r="C37" s="292"/>
      <c r="D37" s="292"/>
      <c r="E37" s="293"/>
      <c r="F37" s="291"/>
      <c r="G37" s="292"/>
      <c r="H37" s="294"/>
      <c r="I37" s="291"/>
      <c r="J37" s="292"/>
      <c r="K37" s="294"/>
      <c r="L37" s="293"/>
      <c r="M37" s="293"/>
      <c r="N37" s="294"/>
    </row>
    <row r="38" spans="1:14" x14ac:dyDescent="0.2">
      <c r="A38" s="296" t="s">
        <v>211</v>
      </c>
      <c r="B38" s="291"/>
      <c r="C38" s="292"/>
      <c r="D38" s="292"/>
      <c r="E38" s="293"/>
      <c r="F38" s="291"/>
      <c r="G38" s="292"/>
      <c r="H38" s="294"/>
      <c r="I38" s="291"/>
      <c r="J38" s="292"/>
      <c r="K38" s="294"/>
      <c r="L38" s="293"/>
      <c r="M38" s="293"/>
      <c r="N38" s="294"/>
    </row>
    <row r="39" spans="1:14" x14ac:dyDescent="0.2">
      <c r="A39" s="296" t="s">
        <v>212</v>
      </c>
      <c r="B39" s="291"/>
      <c r="C39" s="292"/>
      <c r="D39" s="292"/>
      <c r="E39" s="293"/>
      <c r="F39" s="291"/>
      <c r="G39" s="292"/>
      <c r="H39" s="294"/>
      <c r="I39" s="291"/>
      <c r="J39" s="292"/>
      <c r="K39" s="294"/>
      <c r="L39" s="293"/>
      <c r="M39" s="293"/>
      <c r="N39" s="294"/>
    </row>
    <row r="40" spans="1:14" ht="22.5" x14ac:dyDescent="0.2">
      <c r="A40" s="296" t="s">
        <v>213</v>
      </c>
      <c r="B40" s="291"/>
      <c r="C40" s="292"/>
      <c r="D40" s="292"/>
      <c r="E40" s="293"/>
      <c r="F40" s="291"/>
      <c r="G40" s="292"/>
      <c r="H40" s="294"/>
      <c r="I40" s="291"/>
      <c r="J40" s="292"/>
      <c r="K40" s="294"/>
      <c r="L40" s="293"/>
      <c r="M40" s="293"/>
      <c r="N40" s="294"/>
    </row>
    <row r="41" spans="1:14" ht="22.5" x14ac:dyDescent="0.2">
      <c r="A41" s="296" t="s">
        <v>214</v>
      </c>
      <c r="B41" s="291"/>
      <c r="C41" s="292"/>
      <c r="D41" s="292"/>
      <c r="E41" s="293"/>
      <c r="F41" s="291"/>
      <c r="G41" s="292"/>
      <c r="H41" s="294"/>
      <c r="I41" s="291"/>
      <c r="J41" s="292"/>
      <c r="K41" s="294"/>
      <c r="L41" s="293"/>
      <c r="M41" s="293"/>
      <c r="N41" s="294"/>
    </row>
    <row r="42" spans="1:14" x14ac:dyDescent="0.2">
      <c r="A42" s="296"/>
      <c r="B42" s="291"/>
      <c r="C42" s="292"/>
      <c r="D42" s="292"/>
      <c r="E42" s="293"/>
      <c r="F42" s="291"/>
      <c r="G42" s="292"/>
      <c r="H42" s="294"/>
      <c r="I42" s="291"/>
      <c r="J42" s="292"/>
      <c r="K42" s="294"/>
      <c r="L42" s="293"/>
      <c r="M42" s="293"/>
      <c r="N42" s="294"/>
    </row>
    <row r="43" spans="1:14" x14ac:dyDescent="0.2">
      <c r="A43" s="298" t="s">
        <v>222</v>
      </c>
      <c r="B43" s="291"/>
      <c r="C43" s="292"/>
      <c r="D43" s="292"/>
      <c r="E43" s="293"/>
      <c r="F43" s="291"/>
      <c r="G43" s="292"/>
      <c r="H43" s="294"/>
      <c r="I43" s="291"/>
      <c r="J43" s="292"/>
      <c r="K43" s="294"/>
      <c r="L43" s="293"/>
      <c r="M43" s="293"/>
      <c r="N43" s="294"/>
    </row>
    <row r="44" spans="1:14" x14ac:dyDescent="0.2">
      <c r="A44" s="296" t="s">
        <v>215</v>
      </c>
      <c r="B44" s="291"/>
      <c r="C44" s="292"/>
      <c r="D44" s="292"/>
      <c r="E44" s="293"/>
      <c r="F44" s="291"/>
      <c r="G44" s="292"/>
      <c r="H44" s="294"/>
      <c r="I44" s="291"/>
      <c r="J44" s="292"/>
      <c r="K44" s="294"/>
      <c r="L44" s="293"/>
      <c r="M44" s="293"/>
      <c r="N44" s="294"/>
    </row>
    <row r="45" spans="1:14" s="158" customFormat="1" ht="22.5" x14ac:dyDescent="0.2">
      <c r="A45" s="296" t="s">
        <v>216</v>
      </c>
      <c r="B45" s="291"/>
      <c r="C45" s="292"/>
      <c r="D45" s="292"/>
      <c r="E45" s="293"/>
      <c r="F45" s="291"/>
      <c r="G45" s="292"/>
      <c r="H45" s="294"/>
      <c r="I45" s="291"/>
      <c r="J45" s="292"/>
      <c r="K45" s="294"/>
      <c r="L45" s="293"/>
      <c r="M45" s="293"/>
      <c r="N45" s="294"/>
    </row>
    <row r="46" spans="1:14" ht="12" thickBot="1" x14ac:dyDescent="0.25">
      <c r="A46" s="299"/>
      <c r="B46" s="291"/>
      <c r="C46" s="292"/>
      <c r="D46" s="292"/>
      <c r="E46" s="293"/>
      <c r="F46" s="291"/>
      <c r="G46" s="292"/>
      <c r="H46" s="294"/>
      <c r="I46" s="291"/>
      <c r="J46" s="292"/>
      <c r="K46" s="294"/>
      <c r="L46" s="293"/>
      <c r="M46" s="293"/>
      <c r="N46" s="294"/>
    </row>
    <row r="47" spans="1:14" s="156" customFormat="1" x14ac:dyDescent="0.2">
      <c r="A47" s="300"/>
      <c r="B47" s="308"/>
      <c r="C47" s="309"/>
      <c r="D47" s="314"/>
      <c r="E47" s="312"/>
      <c r="F47" s="308"/>
      <c r="G47" s="311"/>
      <c r="H47" s="312"/>
      <c r="I47" s="308"/>
      <c r="J47" s="309"/>
      <c r="K47" s="310"/>
      <c r="L47" s="311"/>
      <c r="M47" s="311"/>
      <c r="N47" s="312"/>
    </row>
    <row r="48" spans="1:14" s="156" customFormat="1" ht="12" thickBot="1" x14ac:dyDescent="0.25">
      <c r="A48" s="301" t="s">
        <v>0</v>
      </c>
      <c r="B48" s="302">
        <f>SUM(B5:B47)</f>
        <v>1148292828</v>
      </c>
      <c r="C48" s="302">
        <f t="shared" ref="C48:N48" si="2">SUM(C5:C47)</f>
        <v>1230735421</v>
      </c>
      <c r="D48" s="302">
        <f t="shared" si="2"/>
        <v>-82442593</v>
      </c>
      <c r="E48" s="302">
        <f t="shared" si="2"/>
        <v>0</v>
      </c>
      <c r="F48" s="302">
        <f t="shared" si="2"/>
        <v>1361130361</v>
      </c>
      <c r="G48" s="302">
        <f t="shared" si="2"/>
        <v>1571611139</v>
      </c>
      <c r="H48" s="302">
        <f t="shared" si="2"/>
        <v>-210480778</v>
      </c>
      <c r="I48" s="302">
        <f t="shared" si="2"/>
        <v>0</v>
      </c>
      <c r="J48" s="302">
        <f t="shared" si="2"/>
        <v>0</v>
      </c>
      <c r="K48" s="302">
        <f t="shared" si="2"/>
        <v>0</v>
      </c>
      <c r="L48" s="302">
        <f t="shared" si="2"/>
        <v>0</v>
      </c>
      <c r="M48" s="302">
        <f t="shared" si="2"/>
        <v>0</v>
      </c>
      <c r="N48" s="302">
        <f t="shared" si="2"/>
        <v>0</v>
      </c>
    </row>
    <row r="49" spans="1:14" s="156" customFormat="1" ht="12.75" thickTop="1" thickBot="1" x14ac:dyDescent="0.25">
      <c r="A49" s="303" t="s">
        <v>17</v>
      </c>
      <c r="B49" s="304"/>
      <c r="C49" s="305"/>
      <c r="D49" s="315"/>
      <c r="E49" s="307"/>
      <c r="F49" s="304"/>
      <c r="G49" s="306"/>
      <c r="H49" s="307"/>
      <c r="I49" s="304"/>
      <c r="J49" s="305"/>
      <c r="K49" s="313"/>
      <c r="L49" s="306"/>
      <c r="M49" s="306"/>
      <c r="N49" s="307"/>
    </row>
    <row r="50" spans="1:14" x14ac:dyDescent="0.2">
      <c r="A50" s="90" t="s">
        <v>412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</row>
    <row r="51" spans="1:14" x14ac:dyDescent="0.2">
      <c r="A51" s="90" t="s">
        <v>413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</row>
  </sheetData>
  <mergeCells count="4">
    <mergeCell ref="I3:N3"/>
    <mergeCell ref="B3:E3"/>
    <mergeCell ref="F3:H3"/>
    <mergeCell ref="A3:A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>
    <tabColor theme="9" tint="-0.249977111117893"/>
  </sheetPr>
  <dimension ref="A1:V25"/>
  <sheetViews>
    <sheetView zoomScaleNormal="100" zoomScaleSheetLayoutView="90" zoomScalePageLayoutView="120" workbookViewId="0">
      <selection activeCell="Q15" sqref="Q15"/>
    </sheetView>
  </sheetViews>
  <sheetFormatPr baseColWidth="10" defaultColWidth="11.28515625" defaultRowHeight="11.25" x14ac:dyDescent="0.2"/>
  <cols>
    <col min="1" max="1" width="25.5703125" style="157" customWidth="1"/>
    <col min="2" max="2" width="7" style="157" customWidth="1"/>
    <col min="3" max="3" width="10.85546875" style="157" bestFit="1" customWidth="1"/>
    <col min="4" max="4" width="8.7109375" style="157" bestFit="1" customWidth="1"/>
    <col min="5" max="5" width="9.5703125" style="157" bestFit="1" customWidth="1"/>
    <col min="6" max="6" width="7" style="157" customWidth="1"/>
    <col min="7" max="7" width="7.85546875" style="157" bestFit="1" customWidth="1"/>
    <col min="8" max="8" width="10.85546875" style="157" bestFit="1" customWidth="1"/>
    <col min="9" max="10" width="7" style="157" customWidth="1"/>
    <col min="11" max="11" width="9.5703125" style="157" bestFit="1" customWidth="1"/>
    <col min="12" max="12" width="7" style="157" customWidth="1"/>
    <col min="13" max="13" width="9.5703125" style="157" bestFit="1" customWidth="1"/>
    <col min="14" max="15" width="8.7109375" style="157" bestFit="1" customWidth="1"/>
    <col min="16" max="16" width="10.85546875" style="157" bestFit="1" customWidth="1"/>
    <col min="17" max="17" width="7" style="157" customWidth="1"/>
    <col min="18" max="18" width="11.42578125" style="157" customWidth="1"/>
    <col min="19" max="16384" width="11.28515625" style="157"/>
  </cols>
  <sheetData>
    <row r="1" spans="1:22" s="156" customFormat="1" x14ac:dyDescent="0.2">
      <c r="A1" s="154" t="s">
        <v>414</v>
      </c>
      <c r="B1" s="160"/>
      <c r="C1" s="160"/>
      <c r="D1" s="160"/>
      <c r="E1" s="160"/>
    </row>
    <row r="2" spans="1:22" s="156" customFormat="1" ht="12" thickBot="1" x14ac:dyDescent="0.25">
      <c r="A2" s="155" t="s">
        <v>517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2" thickBot="1" x14ac:dyDescent="0.25">
      <c r="A3" s="550" t="s">
        <v>1</v>
      </c>
      <c r="B3" s="548" t="s">
        <v>415</v>
      </c>
      <c r="C3" s="549"/>
      <c r="D3" s="549"/>
      <c r="E3" s="549"/>
      <c r="F3" s="549"/>
      <c r="G3" s="549"/>
      <c r="H3" s="547"/>
      <c r="I3" s="546" t="s">
        <v>416</v>
      </c>
      <c r="J3" s="549"/>
      <c r="K3" s="549"/>
      <c r="L3" s="549"/>
      <c r="M3" s="547"/>
      <c r="N3" s="546" t="s">
        <v>417</v>
      </c>
      <c r="O3" s="547"/>
      <c r="P3" s="546" t="s">
        <v>0</v>
      </c>
      <c r="Q3" s="547"/>
    </row>
    <row r="4" spans="1:22" s="175" customFormat="1" ht="80.25" customHeight="1" thickBot="1" x14ac:dyDescent="0.25">
      <c r="A4" s="551"/>
      <c r="B4" s="203" t="s">
        <v>267</v>
      </c>
      <c r="C4" s="204" t="s">
        <v>268</v>
      </c>
      <c r="D4" s="203" t="s">
        <v>269</v>
      </c>
      <c r="E4" s="203" t="s">
        <v>270</v>
      </c>
      <c r="F4" s="203" t="s">
        <v>271</v>
      </c>
      <c r="G4" s="202" t="s">
        <v>272</v>
      </c>
      <c r="H4" s="202" t="s">
        <v>273</v>
      </c>
      <c r="I4" s="203" t="s">
        <v>274</v>
      </c>
      <c r="J4" s="202" t="s">
        <v>272</v>
      </c>
      <c r="K4" s="202" t="s">
        <v>275</v>
      </c>
      <c r="L4" s="202" t="s">
        <v>276</v>
      </c>
      <c r="M4" s="202" t="s">
        <v>277</v>
      </c>
      <c r="N4" s="202" t="s">
        <v>278</v>
      </c>
      <c r="O4" s="204" t="s">
        <v>279</v>
      </c>
      <c r="P4" s="203" t="s">
        <v>16</v>
      </c>
      <c r="Q4" s="202" t="s">
        <v>18</v>
      </c>
    </row>
    <row r="5" spans="1:22" x14ac:dyDescent="0.2">
      <c r="A5" s="176"/>
      <c r="B5" s="167"/>
      <c r="C5" s="168"/>
      <c r="D5" s="167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8"/>
      <c r="Q5" s="176"/>
    </row>
    <row r="6" spans="1:22" x14ac:dyDescent="0.2">
      <c r="A6" s="176" t="s">
        <v>29</v>
      </c>
      <c r="B6" s="167"/>
      <c r="C6" s="168">
        <v>1491842730</v>
      </c>
      <c r="D6" s="167">
        <v>91629999</v>
      </c>
      <c r="E6" s="169">
        <v>197204560</v>
      </c>
      <c r="F6" s="169"/>
      <c r="G6" s="169">
        <v>4563752</v>
      </c>
      <c r="H6" s="169">
        <f>+C6+D6+E6+G6</f>
        <v>1785241041</v>
      </c>
      <c r="I6" s="169"/>
      <c r="J6" s="169"/>
      <c r="K6" s="169">
        <v>37881026</v>
      </c>
      <c r="L6" s="169"/>
      <c r="M6" s="169">
        <f>+K6</f>
        <v>37881026</v>
      </c>
      <c r="N6" s="169"/>
      <c r="O6" s="169">
        <f>+N6</f>
        <v>0</v>
      </c>
      <c r="P6" s="168">
        <f>+N6+M6+H6</f>
        <v>1823122067</v>
      </c>
      <c r="Q6" s="444">
        <f>+P6/$P$24*100</f>
        <v>84.215540781214372</v>
      </c>
    </row>
    <row r="7" spans="1:22" x14ac:dyDescent="0.2">
      <c r="A7" s="176"/>
      <c r="B7" s="167"/>
      <c r="C7" s="168"/>
      <c r="D7" s="167"/>
      <c r="E7" s="169"/>
      <c r="F7" s="169"/>
      <c r="G7" s="169"/>
      <c r="H7" s="169">
        <f t="shared" ref="H7:H23" si="0">+C7+D7+E7+G7</f>
        <v>0</v>
      </c>
      <c r="I7" s="169"/>
      <c r="J7" s="169"/>
      <c r="K7" s="169"/>
      <c r="L7" s="169"/>
      <c r="M7" s="169">
        <f t="shared" ref="M7:M23" si="1">+K7</f>
        <v>0</v>
      </c>
      <c r="N7" s="169"/>
      <c r="O7" s="169">
        <f t="shared" ref="O7:O23" si="2">+N7</f>
        <v>0</v>
      </c>
      <c r="P7" s="168">
        <f t="shared" ref="P7:P23" si="3">+N7+M7+H7</f>
        <v>0</v>
      </c>
      <c r="Q7" s="176"/>
    </row>
    <row r="8" spans="1:22" x14ac:dyDescent="0.2">
      <c r="A8" s="176" t="s">
        <v>30</v>
      </c>
      <c r="B8" s="167"/>
      <c r="C8" s="168"/>
      <c r="D8" s="167"/>
      <c r="E8" s="169">
        <v>9520465</v>
      </c>
      <c r="F8" s="169"/>
      <c r="G8" s="169">
        <v>355047</v>
      </c>
      <c r="H8" s="169">
        <f t="shared" si="0"/>
        <v>9875512</v>
      </c>
      <c r="I8" s="169"/>
      <c r="J8" s="169"/>
      <c r="K8" s="169"/>
      <c r="L8" s="169"/>
      <c r="M8" s="169">
        <f t="shared" si="1"/>
        <v>0</v>
      </c>
      <c r="N8" s="169"/>
      <c r="O8" s="169">
        <f t="shared" si="2"/>
        <v>0</v>
      </c>
      <c r="P8" s="168">
        <f t="shared" si="3"/>
        <v>9875512</v>
      </c>
      <c r="Q8" s="444">
        <f>+P8/$P$24*100</f>
        <v>0.45617986783513159</v>
      </c>
    </row>
    <row r="9" spans="1:22" x14ac:dyDescent="0.2">
      <c r="A9" s="176"/>
      <c r="B9" s="167"/>
      <c r="C9" s="168"/>
      <c r="D9" s="167"/>
      <c r="E9" s="169"/>
      <c r="F9" s="169"/>
      <c r="G9" s="169"/>
      <c r="H9" s="169">
        <f t="shared" si="0"/>
        <v>0</v>
      </c>
      <c r="I9" s="169"/>
      <c r="J9" s="169"/>
      <c r="K9" s="169"/>
      <c r="L9" s="169"/>
      <c r="M9" s="169">
        <f t="shared" si="1"/>
        <v>0</v>
      </c>
      <c r="N9" s="169"/>
      <c r="O9" s="169">
        <f t="shared" si="2"/>
        <v>0</v>
      </c>
      <c r="P9" s="168">
        <f t="shared" si="3"/>
        <v>0</v>
      </c>
      <c r="Q9" s="176"/>
    </row>
    <row r="10" spans="1:22" x14ac:dyDescent="0.2">
      <c r="A10" s="176" t="s">
        <v>31</v>
      </c>
      <c r="B10" s="167"/>
      <c r="C10" s="168"/>
      <c r="D10" s="167"/>
      <c r="E10" s="169"/>
      <c r="F10" s="169"/>
      <c r="G10" s="169"/>
      <c r="H10" s="169">
        <f t="shared" si="0"/>
        <v>0</v>
      </c>
      <c r="I10" s="169"/>
      <c r="J10" s="169"/>
      <c r="K10" s="169">
        <v>266865016</v>
      </c>
      <c r="L10" s="169"/>
      <c r="M10" s="169">
        <f t="shared" si="1"/>
        <v>266865016</v>
      </c>
      <c r="N10" s="169"/>
      <c r="O10" s="169">
        <f t="shared" si="2"/>
        <v>0</v>
      </c>
      <c r="P10" s="168">
        <f t="shared" si="3"/>
        <v>266865016</v>
      </c>
      <c r="Q10" s="444">
        <f>+P10/$P$24*100</f>
        <v>12.327304926438272</v>
      </c>
    </row>
    <row r="11" spans="1:22" x14ac:dyDescent="0.2">
      <c r="A11" s="176" t="s">
        <v>76</v>
      </c>
      <c r="B11" s="167"/>
      <c r="C11" s="168"/>
      <c r="D11" s="167"/>
      <c r="E11" s="169"/>
      <c r="F11" s="169"/>
      <c r="G11" s="169"/>
      <c r="H11" s="169">
        <f t="shared" si="0"/>
        <v>0</v>
      </c>
      <c r="I11" s="169"/>
      <c r="J11" s="169"/>
      <c r="K11" s="169"/>
      <c r="L11" s="169"/>
      <c r="M11" s="169">
        <f t="shared" si="1"/>
        <v>0</v>
      </c>
      <c r="N11" s="169"/>
      <c r="O11" s="169">
        <f t="shared" si="2"/>
        <v>0</v>
      </c>
      <c r="P11" s="168">
        <f t="shared" si="3"/>
        <v>0</v>
      </c>
      <c r="Q11" s="176"/>
    </row>
    <row r="12" spans="1:22" x14ac:dyDescent="0.2">
      <c r="A12" s="174"/>
      <c r="B12" s="167"/>
      <c r="C12" s="170"/>
      <c r="D12" s="171"/>
      <c r="E12" s="177"/>
      <c r="F12" s="177"/>
      <c r="G12" s="169"/>
      <c r="H12" s="169">
        <f t="shared" si="0"/>
        <v>0</v>
      </c>
      <c r="I12" s="169"/>
      <c r="J12" s="169"/>
      <c r="K12" s="169"/>
      <c r="L12" s="169"/>
      <c r="M12" s="169">
        <f t="shared" si="1"/>
        <v>0</v>
      </c>
      <c r="N12" s="169"/>
      <c r="O12" s="169">
        <f t="shared" si="2"/>
        <v>0</v>
      </c>
      <c r="P12" s="168">
        <f t="shared" si="3"/>
        <v>0</v>
      </c>
      <c r="Q12" s="176"/>
    </row>
    <row r="13" spans="1:22" x14ac:dyDescent="0.2">
      <c r="A13" s="176" t="s">
        <v>32</v>
      </c>
      <c r="B13" s="167"/>
      <c r="C13" s="168"/>
      <c r="D13" s="167"/>
      <c r="E13" s="169">
        <v>2058518</v>
      </c>
      <c r="F13" s="169"/>
      <c r="G13" s="169"/>
      <c r="H13" s="169">
        <f t="shared" si="0"/>
        <v>2058518</v>
      </c>
      <c r="I13" s="169"/>
      <c r="J13" s="169"/>
      <c r="K13" s="169"/>
      <c r="L13" s="169"/>
      <c r="M13" s="169">
        <f t="shared" si="1"/>
        <v>0</v>
      </c>
      <c r="N13" s="169"/>
      <c r="O13" s="169">
        <f t="shared" si="2"/>
        <v>0</v>
      </c>
      <c r="P13" s="168">
        <f t="shared" si="3"/>
        <v>2058518</v>
      </c>
      <c r="Q13" s="444">
        <f>+P13/$P$24*100</f>
        <v>9.5089193266763225E-2</v>
      </c>
    </row>
    <row r="14" spans="1:22" x14ac:dyDescent="0.2">
      <c r="A14" s="176"/>
      <c r="B14" s="167"/>
      <c r="C14" s="168"/>
      <c r="D14" s="167"/>
      <c r="E14" s="169"/>
      <c r="F14" s="169"/>
      <c r="G14" s="169"/>
      <c r="H14" s="169">
        <f t="shared" si="0"/>
        <v>0</v>
      </c>
      <c r="I14" s="169"/>
      <c r="J14" s="169"/>
      <c r="K14" s="169"/>
      <c r="L14" s="169"/>
      <c r="M14" s="169">
        <f t="shared" si="1"/>
        <v>0</v>
      </c>
      <c r="N14" s="169"/>
      <c r="O14" s="169">
        <f t="shared" si="2"/>
        <v>0</v>
      </c>
      <c r="P14" s="168">
        <f t="shared" si="3"/>
        <v>0</v>
      </c>
      <c r="Q14" s="176"/>
    </row>
    <row r="15" spans="1:22" x14ac:dyDescent="0.2">
      <c r="A15" s="176" t="s">
        <v>33</v>
      </c>
      <c r="B15" s="167"/>
      <c r="C15" s="168"/>
      <c r="D15" s="167"/>
      <c r="E15" s="169"/>
      <c r="F15" s="169"/>
      <c r="G15" s="169"/>
      <c r="H15" s="169">
        <f t="shared" si="0"/>
        <v>0</v>
      </c>
      <c r="I15" s="169"/>
      <c r="J15" s="169"/>
      <c r="K15" s="169">
        <v>11436541</v>
      </c>
      <c r="L15" s="169"/>
      <c r="M15" s="169">
        <f t="shared" si="1"/>
        <v>11436541</v>
      </c>
      <c r="N15" s="169">
        <v>51470892</v>
      </c>
      <c r="O15" s="169">
        <f t="shared" si="2"/>
        <v>51470892</v>
      </c>
      <c r="P15" s="168">
        <f t="shared" si="3"/>
        <v>62907433</v>
      </c>
      <c r="Q15" s="444">
        <f>+P15/$P$24*100</f>
        <v>2.9058852312454682</v>
      </c>
    </row>
    <row r="16" spans="1:22" x14ac:dyDescent="0.2">
      <c r="A16" s="176"/>
      <c r="B16" s="167"/>
      <c r="C16" s="168"/>
      <c r="D16" s="167"/>
      <c r="E16" s="169"/>
      <c r="F16" s="169"/>
      <c r="G16" s="169"/>
      <c r="H16" s="169">
        <f t="shared" si="0"/>
        <v>0</v>
      </c>
      <c r="I16" s="169"/>
      <c r="J16" s="169"/>
      <c r="K16" s="169"/>
      <c r="L16" s="169"/>
      <c r="M16" s="169">
        <f t="shared" si="1"/>
        <v>0</v>
      </c>
      <c r="N16" s="169"/>
      <c r="O16" s="169">
        <f t="shared" si="2"/>
        <v>0</v>
      </c>
      <c r="P16" s="168">
        <f t="shared" si="3"/>
        <v>0</v>
      </c>
      <c r="Q16" s="176"/>
    </row>
    <row r="17" spans="1:17" x14ac:dyDescent="0.2">
      <c r="A17" s="176" t="s">
        <v>37</v>
      </c>
      <c r="B17" s="167"/>
      <c r="C17" s="168"/>
      <c r="D17" s="167"/>
      <c r="E17" s="169"/>
      <c r="F17" s="169"/>
      <c r="G17" s="169"/>
      <c r="H17" s="169">
        <f t="shared" si="0"/>
        <v>0</v>
      </c>
      <c r="I17" s="169"/>
      <c r="J17" s="169"/>
      <c r="K17" s="169"/>
      <c r="L17" s="169"/>
      <c r="M17" s="169">
        <f t="shared" si="1"/>
        <v>0</v>
      </c>
      <c r="N17" s="169"/>
      <c r="O17" s="169">
        <f t="shared" si="2"/>
        <v>0</v>
      </c>
      <c r="P17" s="168">
        <f t="shared" si="3"/>
        <v>0</v>
      </c>
      <c r="Q17" s="176"/>
    </row>
    <row r="18" spans="1:17" x14ac:dyDescent="0.2">
      <c r="A18" s="176" t="s">
        <v>38</v>
      </c>
      <c r="B18" s="167"/>
      <c r="C18" s="168"/>
      <c r="D18" s="167"/>
      <c r="E18" s="169"/>
      <c r="F18" s="169"/>
      <c r="G18" s="169"/>
      <c r="H18" s="169">
        <f t="shared" si="0"/>
        <v>0</v>
      </c>
      <c r="I18" s="169"/>
      <c r="J18" s="169"/>
      <c r="K18" s="169"/>
      <c r="L18" s="169"/>
      <c r="M18" s="169">
        <f t="shared" si="1"/>
        <v>0</v>
      </c>
      <c r="N18" s="169"/>
      <c r="O18" s="169">
        <f t="shared" si="2"/>
        <v>0</v>
      </c>
      <c r="P18" s="168">
        <f t="shared" si="3"/>
        <v>0</v>
      </c>
      <c r="Q18" s="176"/>
    </row>
    <row r="19" spans="1:17" x14ac:dyDescent="0.2">
      <c r="A19" s="176" t="s">
        <v>34</v>
      </c>
      <c r="B19" s="167"/>
      <c r="C19" s="168"/>
      <c r="D19" s="167"/>
      <c r="E19" s="169"/>
      <c r="F19" s="169"/>
      <c r="G19" s="169"/>
      <c r="H19" s="169">
        <f t="shared" si="0"/>
        <v>0</v>
      </c>
      <c r="I19" s="169"/>
      <c r="J19" s="169"/>
      <c r="K19" s="169"/>
      <c r="L19" s="169"/>
      <c r="M19" s="169">
        <f t="shared" si="1"/>
        <v>0</v>
      </c>
      <c r="N19" s="169"/>
      <c r="O19" s="169">
        <f t="shared" si="2"/>
        <v>0</v>
      </c>
      <c r="P19" s="168">
        <f t="shared" si="3"/>
        <v>0</v>
      </c>
      <c r="Q19" s="176"/>
    </row>
    <row r="20" spans="1:17" x14ac:dyDescent="0.2">
      <c r="A20" s="176" t="s">
        <v>35</v>
      </c>
      <c r="B20" s="167"/>
      <c r="C20" s="168"/>
      <c r="D20" s="167"/>
      <c r="E20" s="169"/>
      <c r="F20" s="169"/>
      <c r="G20" s="169"/>
      <c r="H20" s="169">
        <f t="shared" si="0"/>
        <v>0</v>
      </c>
      <c r="I20" s="169"/>
      <c r="J20" s="169"/>
      <c r="K20" s="169"/>
      <c r="L20" s="169"/>
      <c r="M20" s="169">
        <f t="shared" si="1"/>
        <v>0</v>
      </c>
      <c r="N20" s="169"/>
      <c r="O20" s="169">
        <f t="shared" si="2"/>
        <v>0</v>
      </c>
      <c r="P20" s="168">
        <f t="shared" si="3"/>
        <v>0</v>
      </c>
      <c r="Q20" s="176"/>
    </row>
    <row r="21" spans="1:17" x14ac:dyDescent="0.2">
      <c r="A21" s="176" t="s">
        <v>36</v>
      </c>
      <c r="B21" s="167"/>
      <c r="C21" s="168"/>
      <c r="D21" s="167"/>
      <c r="E21" s="169"/>
      <c r="F21" s="169"/>
      <c r="G21" s="169"/>
      <c r="H21" s="169">
        <f t="shared" si="0"/>
        <v>0</v>
      </c>
      <c r="I21" s="169"/>
      <c r="J21" s="169"/>
      <c r="K21" s="169"/>
      <c r="L21" s="169"/>
      <c r="M21" s="169">
        <f t="shared" si="1"/>
        <v>0</v>
      </c>
      <c r="N21" s="169"/>
      <c r="O21" s="169">
        <f t="shared" si="2"/>
        <v>0</v>
      </c>
      <c r="P21" s="168">
        <f t="shared" si="3"/>
        <v>0</v>
      </c>
      <c r="Q21" s="176"/>
    </row>
    <row r="22" spans="1:17" x14ac:dyDescent="0.2">
      <c r="A22" s="176" t="s">
        <v>67</v>
      </c>
      <c r="B22" s="167"/>
      <c r="C22" s="168"/>
      <c r="D22" s="167"/>
      <c r="E22" s="169"/>
      <c r="F22" s="169"/>
      <c r="G22" s="169"/>
      <c r="H22" s="169">
        <f t="shared" si="0"/>
        <v>0</v>
      </c>
      <c r="I22" s="169"/>
      <c r="J22" s="169"/>
      <c r="K22" s="169"/>
      <c r="L22" s="169"/>
      <c r="M22" s="169">
        <f t="shared" si="1"/>
        <v>0</v>
      </c>
      <c r="N22" s="169"/>
      <c r="O22" s="169">
        <f t="shared" si="2"/>
        <v>0</v>
      </c>
      <c r="P22" s="168">
        <f t="shared" si="3"/>
        <v>0</v>
      </c>
      <c r="Q22" s="176"/>
    </row>
    <row r="23" spans="1:17" ht="12" thickBot="1" x14ac:dyDescent="0.25">
      <c r="A23" s="172"/>
      <c r="B23" s="172"/>
      <c r="C23" s="178"/>
      <c r="D23" s="176"/>
      <c r="E23" s="179"/>
      <c r="F23" s="179"/>
      <c r="G23" s="179"/>
      <c r="H23" s="169">
        <f t="shared" si="0"/>
        <v>0</v>
      </c>
      <c r="I23" s="179"/>
      <c r="J23" s="179"/>
      <c r="K23" s="179"/>
      <c r="L23" s="179"/>
      <c r="M23" s="169">
        <f t="shared" si="1"/>
        <v>0</v>
      </c>
      <c r="N23" s="179"/>
      <c r="O23" s="169">
        <f t="shared" si="2"/>
        <v>0</v>
      </c>
      <c r="P23" s="168">
        <f t="shared" si="3"/>
        <v>0</v>
      </c>
      <c r="Q23" s="176"/>
    </row>
    <row r="24" spans="1:17" ht="12" thickBot="1" x14ac:dyDescent="0.25">
      <c r="A24" s="180" t="s">
        <v>0</v>
      </c>
      <c r="B24" s="159"/>
      <c r="C24" s="401">
        <f>SUM(C6:C23)</f>
        <v>1491842730</v>
      </c>
      <c r="D24" s="401">
        <f t="shared" ref="D24:O24" si="4">SUM(D6:D23)</f>
        <v>91629999</v>
      </c>
      <c r="E24" s="401">
        <f t="shared" si="4"/>
        <v>208783543</v>
      </c>
      <c r="F24" s="401">
        <f t="shared" si="4"/>
        <v>0</v>
      </c>
      <c r="G24" s="401">
        <f t="shared" si="4"/>
        <v>4918799</v>
      </c>
      <c r="H24" s="401">
        <f t="shared" si="4"/>
        <v>1797175071</v>
      </c>
      <c r="I24" s="401">
        <f t="shared" si="4"/>
        <v>0</v>
      </c>
      <c r="J24" s="401">
        <f t="shared" si="4"/>
        <v>0</v>
      </c>
      <c r="K24" s="401">
        <f t="shared" si="4"/>
        <v>316182583</v>
      </c>
      <c r="L24" s="401">
        <f t="shared" si="4"/>
        <v>0</v>
      </c>
      <c r="M24" s="401">
        <f t="shared" si="4"/>
        <v>316182583</v>
      </c>
      <c r="N24" s="401">
        <f t="shared" si="4"/>
        <v>51470892</v>
      </c>
      <c r="O24" s="401">
        <f t="shared" si="4"/>
        <v>51470892</v>
      </c>
      <c r="P24" s="401">
        <f t="shared" ref="P24" si="5">SUM(P6:P23)</f>
        <v>2164828546</v>
      </c>
      <c r="Q24" s="401">
        <f t="shared" ref="Q24" si="6">SUM(Q6:Q23)</f>
        <v>100</v>
      </c>
    </row>
    <row r="25" spans="1:17" x14ac:dyDescent="0.2">
      <c r="A25" s="163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</sheetData>
  <mergeCells count="5">
    <mergeCell ref="P3:Q3"/>
    <mergeCell ref="B3:H3"/>
    <mergeCell ref="I3:M3"/>
    <mergeCell ref="A3:A4"/>
    <mergeCell ref="N3:O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DEL PRESUPUESTO 2021
</oddHeader>
    <oddFooter>&amp;L&amp;"Arial,Negrita"&amp;8PROYECTO DE PRESUPUESTO PARA EL AÑO FISCAL 2020
INFORMACIÓN PARA LA COMISIÓN DE PRESUPUESTO Y CUENTA GENERAL DE LA REPÚBLICA DEL CONGRESO DE LA REPÚBLICA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6">
    <tabColor theme="9" tint="-0.249977111117893"/>
    <pageSetUpPr fitToPage="1"/>
  </sheetPr>
  <dimension ref="A1:V108"/>
  <sheetViews>
    <sheetView zoomScaleNormal="100" zoomScaleSheetLayoutView="70" zoomScalePageLayoutView="120" workbookViewId="0">
      <selection activeCell="N92" sqref="N92"/>
    </sheetView>
  </sheetViews>
  <sheetFormatPr baseColWidth="10" defaultColWidth="11.42578125" defaultRowHeight="12" x14ac:dyDescent="0.2"/>
  <cols>
    <col min="1" max="1" width="25" style="122" customWidth="1"/>
    <col min="2" max="2" width="16.28515625" style="122" bestFit="1" customWidth="1"/>
    <col min="3" max="3" width="8.7109375" style="122" customWidth="1"/>
    <col min="4" max="4" width="15.28515625" style="122" bestFit="1" customWidth="1"/>
    <col min="5" max="5" width="13.85546875" style="122" bestFit="1" customWidth="1"/>
    <col min="6" max="6" width="13.28515625" style="122" bestFit="1" customWidth="1"/>
    <col min="7" max="7" width="8.7109375" style="122" customWidth="1"/>
    <col min="8" max="8" width="11.5703125" style="122" bestFit="1" customWidth="1"/>
    <col min="9" max="9" width="14.7109375" style="122" bestFit="1" customWidth="1"/>
    <col min="10" max="11" width="8.7109375" style="122" customWidth="1"/>
    <col min="12" max="12" width="13.42578125" style="122" bestFit="1" customWidth="1"/>
    <col min="13" max="13" width="8.7109375" style="122" customWidth="1"/>
    <col min="14" max="14" width="13.28515625" style="122" bestFit="1" customWidth="1"/>
    <col min="15" max="18" width="8.7109375" style="122" customWidth="1"/>
    <col min="19" max="16384" width="11.42578125" style="122"/>
  </cols>
  <sheetData>
    <row r="1" spans="1:22" s="5" customFormat="1" x14ac:dyDescent="0.2">
      <c r="A1" s="147" t="s">
        <v>418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s="5" customFormat="1" ht="12.75" thickBot="1" x14ac:dyDescent="0.25">
      <c r="A2" s="149" t="s">
        <v>536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ht="27" customHeight="1" x14ac:dyDescent="0.2">
      <c r="A3" s="554" t="s">
        <v>112</v>
      </c>
      <c r="B3" s="561" t="s">
        <v>113</v>
      </c>
      <c r="C3" s="556" t="s">
        <v>19</v>
      </c>
      <c r="D3" s="557"/>
      <c r="E3" s="557"/>
      <c r="F3" s="557"/>
      <c r="G3" s="557"/>
      <c r="H3" s="557"/>
      <c r="I3" s="558"/>
      <c r="J3" s="559" t="s">
        <v>93</v>
      </c>
      <c r="K3" s="552"/>
      <c r="L3" s="552"/>
      <c r="M3" s="552"/>
      <c r="N3" s="553"/>
      <c r="O3" s="560" t="s">
        <v>77</v>
      </c>
      <c r="P3" s="552"/>
      <c r="Q3" s="552" t="s">
        <v>0</v>
      </c>
      <c r="R3" s="553"/>
    </row>
    <row r="4" spans="1:22" ht="112.5" customHeight="1" thickBot="1" x14ac:dyDescent="0.25">
      <c r="A4" s="555"/>
      <c r="B4" s="562"/>
      <c r="C4" s="205" t="s">
        <v>228</v>
      </c>
      <c r="D4" s="206" t="s">
        <v>229</v>
      </c>
      <c r="E4" s="206" t="s">
        <v>230</v>
      </c>
      <c r="F4" s="206" t="s">
        <v>231</v>
      </c>
      <c r="G4" s="206" t="s">
        <v>232</v>
      </c>
      <c r="H4" s="206" t="s">
        <v>233</v>
      </c>
      <c r="I4" s="207" t="s">
        <v>90</v>
      </c>
      <c r="J4" s="205" t="s">
        <v>232</v>
      </c>
      <c r="K4" s="206" t="s">
        <v>233</v>
      </c>
      <c r="L4" s="206" t="s">
        <v>234</v>
      </c>
      <c r="M4" s="206" t="s">
        <v>235</v>
      </c>
      <c r="N4" s="207" t="s">
        <v>91</v>
      </c>
      <c r="O4" s="208" t="s">
        <v>236</v>
      </c>
      <c r="P4" s="206" t="s">
        <v>92</v>
      </c>
      <c r="Q4" s="209" t="s">
        <v>26</v>
      </c>
      <c r="R4" s="210" t="s">
        <v>75</v>
      </c>
    </row>
    <row r="5" spans="1:22" ht="12.75" thickBot="1" x14ac:dyDescent="0.25">
      <c r="A5" s="20" t="s">
        <v>114</v>
      </c>
      <c r="B5" s="56">
        <v>2019</v>
      </c>
      <c r="C5" s="380"/>
      <c r="D5" s="378"/>
      <c r="E5" s="378"/>
      <c r="F5" s="378"/>
      <c r="G5" s="378"/>
      <c r="H5" s="378"/>
      <c r="I5" s="379">
        <f>+SUM(C5:H5)</f>
        <v>0</v>
      </c>
      <c r="J5" s="380"/>
      <c r="K5" s="378"/>
      <c r="L5" s="378"/>
      <c r="M5" s="378"/>
      <c r="N5" s="379"/>
      <c r="O5" s="395"/>
      <c r="P5" s="378"/>
      <c r="Q5" s="378"/>
      <c r="R5" s="379"/>
    </row>
    <row r="6" spans="1:22" ht="12.75" thickBot="1" x14ac:dyDescent="0.25">
      <c r="A6" s="23"/>
      <c r="B6" s="13">
        <v>2020</v>
      </c>
      <c r="C6" s="383"/>
      <c r="D6" s="381"/>
      <c r="E6" s="381"/>
      <c r="F6" s="381"/>
      <c r="G6" s="381"/>
      <c r="H6" s="381"/>
      <c r="I6" s="379">
        <f t="shared" ref="I6:I7" si="0">+SUM(C6:H6)</f>
        <v>0</v>
      </c>
      <c r="J6" s="383"/>
      <c r="K6" s="381"/>
      <c r="L6" s="381"/>
      <c r="M6" s="381"/>
      <c r="N6" s="382"/>
      <c r="O6" s="396"/>
      <c r="P6" s="381"/>
      <c r="Q6" s="381"/>
      <c r="R6" s="382"/>
    </row>
    <row r="7" spans="1:22" x14ac:dyDescent="0.2">
      <c r="A7" s="23"/>
      <c r="B7" s="13">
        <v>2021</v>
      </c>
      <c r="C7" s="386"/>
      <c r="D7" s="384"/>
      <c r="E7" s="384"/>
      <c r="F7" s="384"/>
      <c r="G7" s="384"/>
      <c r="H7" s="384"/>
      <c r="I7" s="379">
        <f t="shared" si="0"/>
        <v>0</v>
      </c>
      <c r="J7" s="386"/>
      <c r="K7" s="384"/>
      <c r="L7" s="384"/>
      <c r="M7" s="384"/>
      <c r="N7" s="385"/>
      <c r="O7" s="397"/>
      <c r="P7" s="384"/>
      <c r="Q7" s="384"/>
      <c r="R7" s="385"/>
    </row>
    <row r="8" spans="1:22" ht="12.75" thickBot="1" x14ac:dyDescent="0.25">
      <c r="A8" s="80"/>
      <c r="B8" s="95" t="s">
        <v>419</v>
      </c>
      <c r="C8" s="389"/>
      <c r="D8" s="387"/>
      <c r="E8" s="387"/>
      <c r="F8" s="387"/>
      <c r="G8" s="387"/>
      <c r="H8" s="387"/>
      <c r="I8" s="388"/>
      <c r="J8" s="389"/>
      <c r="K8" s="387"/>
      <c r="L8" s="387"/>
      <c r="M8" s="387"/>
      <c r="N8" s="388"/>
      <c r="O8" s="398"/>
      <c r="P8" s="387"/>
      <c r="Q8" s="387"/>
      <c r="R8" s="388"/>
    </row>
    <row r="9" spans="1:22" ht="12.75" thickBot="1" x14ac:dyDescent="0.25">
      <c r="A9" s="4" t="s">
        <v>115</v>
      </c>
      <c r="B9" s="56">
        <v>2019</v>
      </c>
      <c r="C9" s="392"/>
      <c r="D9" s="390"/>
      <c r="E9" s="390"/>
      <c r="F9" s="390"/>
      <c r="G9" s="390"/>
      <c r="H9" s="390"/>
      <c r="I9" s="379">
        <f t="shared" ref="I9:I11" si="1">+SUM(C9:H9)</f>
        <v>0</v>
      </c>
      <c r="J9" s="392"/>
      <c r="K9" s="390"/>
      <c r="L9" s="390"/>
      <c r="M9" s="390"/>
      <c r="N9" s="391"/>
      <c r="O9" s="399"/>
      <c r="P9" s="390"/>
      <c r="Q9" s="390"/>
      <c r="R9" s="391"/>
    </row>
    <row r="10" spans="1:22" ht="12.75" thickBot="1" x14ac:dyDescent="0.25">
      <c r="A10" s="23"/>
      <c r="B10" s="13">
        <v>2020</v>
      </c>
      <c r="C10" s="383"/>
      <c r="D10" s="381"/>
      <c r="E10" s="381"/>
      <c r="F10" s="381"/>
      <c r="G10" s="381"/>
      <c r="H10" s="381"/>
      <c r="I10" s="379">
        <f t="shared" si="1"/>
        <v>0</v>
      </c>
      <c r="J10" s="383"/>
      <c r="K10" s="381"/>
      <c r="L10" s="381"/>
      <c r="M10" s="381"/>
      <c r="N10" s="382"/>
      <c r="O10" s="396"/>
      <c r="P10" s="381"/>
      <c r="Q10" s="381"/>
      <c r="R10" s="382"/>
    </row>
    <row r="11" spans="1:22" x14ac:dyDescent="0.2">
      <c r="A11" s="23"/>
      <c r="B11" s="13">
        <v>2021</v>
      </c>
      <c r="C11" s="383"/>
      <c r="D11" s="381"/>
      <c r="E11" s="381"/>
      <c r="F11" s="381"/>
      <c r="G11" s="381"/>
      <c r="H11" s="381"/>
      <c r="I11" s="379">
        <f t="shared" si="1"/>
        <v>0</v>
      </c>
      <c r="J11" s="383"/>
      <c r="K11" s="381"/>
      <c r="L11" s="381"/>
      <c r="M11" s="381"/>
      <c r="N11" s="382"/>
      <c r="O11" s="396"/>
      <c r="P11" s="381"/>
      <c r="Q11" s="381"/>
      <c r="R11" s="382"/>
    </row>
    <row r="12" spans="1:22" ht="12.75" thickBot="1" x14ac:dyDescent="0.25">
      <c r="A12" s="25"/>
      <c r="B12" s="95" t="s">
        <v>419</v>
      </c>
      <c r="C12" s="389"/>
      <c r="D12" s="393"/>
      <c r="E12" s="393"/>
      <c r="F12" s="393" t="s">
        <v>79</v>
      </c>
      <c r="G12" s="393"/>
      <c r="H12" s="387"/>
      <c r="I12" s="388"/>
      <c r="J12" s="389"/>
      <c r="K12" s="387"/>
      <c r="L12" s="387"/>
      <c r="M12" s="387"/>
      <c r="N12" s="388"/>
      <c r="O12" s="398"/>
      <c r="P12" s="387"/>
      <c r="Q12" s="387"/>
      <c r="R12" s="388"/>
    </row>
    <row r="13" spans="1:22" ht="12.75" thickBot="1" x14ac:dyDescent="0.25">
      <c r="A13" s="20" t="s">
        <v>116</v>
      </c>
      <c r="B13" s="56">
        <v>2019</v>
      </c>
      <c r="C13" s="380"/>
      <c r="D13" s="378">
        <v>22617284</v>
      </c>
      <c r="E13" s="378">
        <v>1000000</v>
      </c>
      <c r="F13" s="378">
        <v>25188014</v>
      </c>
      <c r="G13" s="378"/>
      <c r="H13" s="378">
        <v>337230</v>
      </c>
      <c r="I13" s="379">
        <f t="shared" ref="I13:I15" si="2">+SUM(C13:H13)</f>
        <v>49142528</v>
      </c>
      <c r="J13" s="380"/>
      <c r="K13" s="378"/>
      <c r="L13" s="378">
        <v>22413169</v>
      </c>
      <c r="M13" s="378"/>
      <c r="N13" s="379">
        <f>+SUM(J13:M13)</f>
        <v>22413169</v>
      </c>
      <c r="O13" s="395"/>
      <c r="P13" s="378"/>
      <c r="Q13" s="378"/>
      <c r="R13" s="379"/>
    </row>
    <row r="14" spans="1:22" ht="12.75" thickBot="1" x14ac:dyDescent="0.25">
      <c r="A14" s="23"/>
      <c r="B14" s="13">
        <v>2020</v>
      </c>
      <c r="C14" s="383"/>
      <c r="D14" s="381">
        <v>43243196</v>
      </c>
      <c r="E14" s="381">
        <v>537003</v>
      </c>
      <c r="F14" s="381">
        <v>27179018</v>
      </c>
      <c r="G14" s="381"/>
      <c r="H14" s="381">
        <v>202367</v>
      </c>
      <c r="I14" s="379">
        <f t="shared" si="2"/>
        <v>71161584</v>
      </c>
      <c r="J14" s="383"/>
      <c r="K14" s="381"/>
      <c r="L14" s="381">
        <v>22680343</v>
      </c>
      <c r="M14" s="381"/>
      <c r="N14" s="379">
        <f t="shared" ref="N14:N15" si="3">+SUM(J14:M14)</f>
        <v>22680343</v>
      </c>
      <c r="O14" s="396"/>
      <c r="P14" s="381"/>
      <c r="Q14" s="381"/>
      <c r="R14" s="382"/>
    </row>
    <row r="15" spans="1:22" x14ac:dyDescent="0.2">
      <c r="A15" s="23"/>
      <c r="B15" s="13">
        <v>2021</v>
      </c>
      <c r="C15" s="383"/>
      <c r="D15" s="381">
        <v>13413078</v>
      </c>
      <c r="E15" s="381">
        <v>2183</v>
      </c>
      <c r="F15" s="381">
        <v>10468038</v>
      </c>
      <c r="G15" s="381"/>
      <c r="H15" s="381">
        <v>447414</v>
      </c>
      <c r="I15" s="379">
        <f t="shared" si="2"/>
        <v>24330713</v>
      </c>
      <c r="J15" s="383"/>
      <c r="K15" s="381"/>
      <c r="L15" s="381">
        <v>14773265</v>
      </c>
      <c r="M15" s="381"/>
      <c r="N15" s="379">
        <f t="shared" si="3"/>
        <v>14773265</v>
      </c>
      <c r="O15" s="396"/>
      <c r="P15" s="381"/>
      <c r="Q15" s="381"/>
      <c r="R15" s="382"/>
    </row>
    <row r="16" spans="1:22" ht="12.75" thickBot="1" x14ac:dyDescent="0.25">
      <c r="A16" s="25"/>
      <c r="B16" s="95" t="s">
        <v>419</v>
      </c>
      <c r="C16" s="389"/>
      <c r="D16" s="387">
        <f>+((D15/D14)-1)*100</f>
        <v>-68.982223238078888</v>
      </c>
      <c r="E16" s="387">
        <f t="shared" ref="E16:F16" si="4">+((E15/E14)-1)*100</f>
        <v>-99.593484580160634</v>
      </c>
      <c r="F16" s="387">
        <f t="shared" si="4"/>
        <v>-61.484855707443153</v>
      </c>
      <c r="G16" s="387">
        <f t="shared" ref="G16" si="5">-G14-G15</f>
        <v>0</v>
      </c>
      <c r="H16" s="387">
        <f>+((H15/H14)-1)*100</f>
        <v>121.09039517312605</v>
      </c>
      <c r="I16" s="387">
        <f>+((I15/I14)-1)*100</f>
        <v>-65.809202616962551</v>
      </c>
      <c r="J16" s="389"/>
      <c r="K16" s="387"/>
      <c r="L16" s="387">
        <f t="shared" ref="L16" si="6">-L14-L15</f>
        <v>-37453608</v>
      </c>
      <c r="M16" s="387"/>
      <c r="N16" s="387">
        <f>+((N15/N14)-1)*100</f>
        <v>-34.863132360917113</v>
      </c>
      <c r="O16" s="398"/>
      <c r="P16" s="387"/>
      <c r="Q16" s="387"/>
      <c r="R16" s="388"/>
    </row>
    <row r="17" spans="1:18" x14ac:dyDescent="0.2">
      <c r="A17" s="20" t="s">
        <v>237</v>
      </c>
      <c r="B17" s="56">
        <v>2019</v>
      </c>
      <c r="C17" s="380"/>
      <c r="D17" s="378"/>
      <c r="E17" s="378"/>
      <c r="F17" s="378"/>
      <c r="G17" s="378"/>
      <c r="H17" s="378"/>
      <c r="I17" s="379"/>
      <c r="J17" s="380"/>
      <c r="K17" s="378"/>
      <c r="L17" s="378"/>
      <c r="M17" s="378"/>
      <c r="N17" s="379"/>
      <c r="O17" s="395"/>
      <c r="P17" s="378"/>
      <c r="Q17" s="378"/>
      <c r="R17" s="379"/>
    </row>
    <row r="18" spans="1:18" x14ac:dyDescent="0.2">
      <c r="A18" s="23"/>
      <c r="B18" s="13">
        <v>2020</v>
      </c>
      <c r="C18" s="383"/>
      <c r="D18" s="381"/>
      <c r="E18" s="381"/>
      <c r="F18" s="381"/>
      <c r="G18" s="381"/>
      <c r="H18" s="381"/>
      <c r="I18" s="382"/>
      <c r="J18" s="383"/>
      <c r="K18" s="381"/>
      <c r="L18" s="381"/>
      <c r="M18" s="381"/>
      <c r="N18" s="382"/>
      <c r="O18" s="396"/>
      <c r="P18" s="381"/>
      <c r="Q18" s="381"/>
      <c r="R18" s="382"/>
    </row>
    <row r="19" spans="1:18" x14ac:dyDescent="0.2">
      <c r="A19" s="23"/>
      <c r="B19" s="13">
        <v>2021</v>
      </c>
      <c r="C19" s="383"/>
      <c r="D19" s="381"/>
      <c r="E19" s="381"/>
      <c r="F19" s="381"/>
      <c r="G19" s="381"/>
      <c r="H19" s="381"/>
      <c r="I19" s="382"/>
      <c r="J19" s="383"/>
      <c r="K19" s="381"/>
      <c r="L19" s="381"/>
      <c r="M19" s="381"/>
      <c r="N19" s="382"/>
      <c r="O19" s="396"/>
      <c r="P19" s="381"/>
      <c r="Q19" s="381"/>
      <c r="R19" s="382"/>
    </row>
    <row r="20" spans="1:18" ht="12.75" thickBot="1" x14ac:dyDescent="0.25">
      <c r="A20" s="25"/>
      <c r="B20" s="95" t="s">
        <v>419</v>
      </c>
      <c r="C20" s="389"/>
      <c r="D20" s="387"/>
      <c r="E20" s="387"/>
      <c r="F20" s="387"/>
      <c r="G20" s="387"/>
      <c r="H20" s="387"/>
      <c r="I20" s="388"/>
      <c r="J20" s="389"/>
      <c r="K20" s="387"/>
      <c r="L20" s="387"/>
      <c r="M20" s="387"/>
      <c r="N20" s="388"/>
      <c r="O20" s="398"/>
      <c r="P20" s="387"/>
      <c r="Q20" s="387"/>
      <c r="R20" s="388"/>
    </row>
    <row r="21" spans="1:18" ht="12.75" thickBot="1" x14ac:dyDescent="0.25">
      <c r="A21" s="20" t="s">
        <v>238</v>
      </c>
      <c r="B21" s="56">
        <v>2019</v>
      </c>
      <c r="C21" s="380"/>
      <c r="D21" s="394"/>
      <c r="E21" s="378">
        <v>1400000</v>
      </c>
      <c r="F21" s="378">
        <v>1044389</v>
      </c>
      <c r="G21" s="378"/>
      <c r="H21" s="378"/>
      <c r="I21" s="379">
        <f t="shared" ref="I21:I23" si="7">+SUM(C21:H21)</f>
        <v>2444389</v>
      </c>
      <c r="J21" s="380"/>
      <c r="K21" s="378"/>
      <c r="L21" s="378"/>
      <c r="M21" s="378"/>
      <c r="N21" s="379"/>
      <c r="O21" s="395"/>
      <c r="P21" s="378"/>
      <c r="Q21" s="378"/>
      <c r="R21" s="379"/>
    </row>
    <row r="22" spans="1:18" ht="12.75" thickBot="1" x14ac:dyDescent="0.25">
      <c r="A22" s="23"/>
      <c r="B22" s="13">
        <v>2020</v>
      </c>
      <c r="C22" s="383"/>
      <c r="D22" s="381"/>
      <c r="E22" s="381">
        <v>1400000</v>
      </c>
      <c r="F22" s="381">
        <v>754174</v>
      </c>
      <c r="G22" s="381"/>
      <c r="H22" s="381"/>
      <c r="I22" s="379">
        <f t="shared" si="7"/>
        <v>2154174</v>
      </c>
      <c r="J22" s="383"/>
      <c r="K22" s="381"/>
      <c r="L22" s="381"/>
      <c r="M22" s="381"/>
      <c r="N22" s="382"/>
      <c r="O22" s="396"/>
      <c r="P22" s="381"/>
      <c r="Q22" s="381"/>
      <c r="R22" s="382"/>
    </row>
    <row r="23" spans="1:18" x14ac:dyDescent="0.2">
      <c r="A23" s="23"/>
      <c r="B23" s="13">
        <v>2021</v>
      </c>
      <c r="C23" s="383"/>
      <c r="D23" s="381"/>
      <c r="E23" s="381">
        <v>1317666</v>
      </c>
      <c r="F23" s="381">
        <v>972024</v>
      </c>
      <c r="G23" s="381"/>
      <c r="H23" s="381"/>
      <c r="I23" s="379">
        <f t="shared" si="7"/>
        <v>2289690</v>
      </c>
      <c r="J23" s="383"/>
      <c r="K23" s="381"/>
      <c r="L23" s="381"/>
      <c r="M23" s="381"/>
      <c r="N23" s="382"/>
      <c r="O23" s="396"/>
      <c r="P23" s="381"/>
      <c r="Q23" s="381"/>
      <c r="R23" s="382"/>
    </row>
    <row r="24" spans="1:18" ht="12.75" thickBot="1" x14ac:dyDescent="0.25">
      <c r="A24" s="25"/>
      <c r="B24" s="95" t="s">
        <v>419</v>
      </c>
      <c r="C24" s="389"/>
      <c r="D24" s="387"/>
      <c r="E24" s="387">
        <f t="shared" ref="E24:F24" si="8">+((E23/E22)-1)*100</f>
        <v>-5.8810000000000029</v>
      </c>
      <c r="F24" s="387">
        <f t="shared" si="8"/>
        <v>28.885906965766516</v>
      </c>
      <c r="G24" s="387"/>
      <c r="H24" s="387"/>
      <c r="I24" s="387">
        <f>+((I23/I22)-1)*100</f>
        <v>6.2908567274509775</v>
      </c>
      <c r="J24" s="389"/>
      <c r="K24" s="387"/>
      <c r="L24" s="387"/>
      <c r="M24" s="387"/>
      <c r="N24" s="388"/>
      <c r="O24" s="398"/>
      <c r="P24" s="387"/>
      <c r="Q24" s="387"/>
      <c r="R24" s="388"/>
    </row>
    <row r="25" spans="1:18" x14ac:dyDescent="0.2">
      <c r="A25" s="20" t="s">
        <v>239</v>
      </c>
      <c r="B25" s="56">
        <v>2019</v>
      </c>
      <c r="C25" s="380"/>
      <c r="D25" s="378"/>
      <c r="E25" s="378"/>
      <c r="F25" s="378"/>
      <c r="G25" s="378"/>
      <c r="H25" s="378"/>
      <c r="I25" s="379"/>
      <c r="J25" s="380"/>
      <c r="K25" s="378"/>
      <c r="L25" s="378"/>
      <c r="M25" s="378"/>
      <c r="N25" s="379"/>
      <c r="O25" s="395"/>
      <c r="P25" s="378"/>
      <c r="Q25" s="378"/>
      <c r="R25" s="379"/>
    </row>
    <row r="26" spans="1:18" x14ac:dyDescent="0.2">
      <c r="A26" s="23"/>
      <c r="B26" s="13">
        <v>2020</v>
      </c>
      <c r="C26" s="383"/>
      <c r="D26" s="381"/>
      <c r="E26" s="381"/>
      <c r="F26" s="381"/>
      <c r="G26" s="381"/>
      <c r="H26" s="381"/>
      <c r="I26" s="382"/>
      <c r="J26" s="383"/>
      <c r="K26" s="381"/>
      <c r="L26" s="381"/>
      <c r="M26" s="381"/>
      <c r="N26" s="382"/>
      <c r="O26" s="396"/>
      <c r="P26" s="381"/>
      <c r="Q26" s="381"/>
      <c r="R26" s="382"/>
    </row>
    <row r="27" spans="1:18" x14ac:dyDescent="0.2">
      <c r="A27" s="23"/>
      <c r="B27" s="13">
        <v>2021</v>
      </c>
      <c r="C27" s="383"/>
      <c r="D27" s="381"/>
      <c r="E27" s="381"/>
      <c r="F27" s="381"/>
      <c r="G27" s="381"/>
      <c r="H27" s="381"/>
      <c r="I27" s="382"/>
      <c r="J27" s="383"/>
      <c r="K27" s="381"/>
      <c r="L27" s="381"/>
      <c r="M27" s="381"/>
      <c r="N27" s="382"/>
      <c r="O27" s="396"/>
      <c r="P27" s="381"/>
      <c r="Q27" s="381"/>
      <c r="R27" s="382"/>
    </row>
    <row r="28" spans="1:18" ht="12.75" thickBot="1" x14ac:dyDescent="0.25">
      <c r="A28" s="25"/>
      <c r="B28" s="95" t="s">
        <v>419</v>
      </c>
      <c r="C28" s="389"/>
      <c r="D28" s="387"/>
      <c r="E28" s="387"/>
      <c r="F28" s="387"/>
      <c r="G28" s="387"/>
      <c r="H28" s="387"/>
      <c r="I28" s="388"/>
      <c r="J28" s="389"/>
      <c r="K28" s="387"/>
      <c r="L28" s="387"/>
      <c r="M28" s="387"/>
      <c r="N28" s="388"/>
      <c r="O28" s="398"/>
      <c r="P28" s="387"/>
      <c r="Q28" s="387"/>
      <c r="R28" s="388"/>
    </row>
    <row r="29" spans="1:18" ht="12.75" thickBot="1" x14ac:dyDescent="0.25">
      <c r="A29" s="20" t="s">
        <v>240</v>
      </c>
      <c r="B29" s="56">
        <v>2019</v>
      </c>
      <c r="C29" s="380"/>
      <c r="D29" s="378"/>
      <c r="E29" s="378"/>
      <c r="F29" s="378">
        <v>796269</v>
      </c>
      <c r="G29" s="378"/>
      <c r="H29" s="378">
        <v>7500</v>
      </c>
      <c r="I29" s="379">
        <f t="shared" ref="I29:I31" si="9">+SUM(C29:H29)</f>
        <v>803769</v>
      </c>
      <c r="J29" s="380"/>
      <c r="K29" s="378"/>
      <c r="L29" s="378"/>
      <c r="M29" s="378"/>
      <c r="N29" s="379"/>
      <c r="O29" s="395"/>
      <c r="P29" s="378"/>
      <c r="Q29" s="378"/>
      <c r="R29" s="379"/>
    </row>
    <row r="30" spans="1:18" ht="12.75" thickBot="1" x14ac:dyDescent="0.25">
      <c r="A30" s="23"/>
      <c r="B30" s="13">
        <v>2020</v>
      </c>
      <c r="C30" s="383"/>
      <c r="D30" s="381"/>
      <c r="E30" s="381"/>
      <c r="F30" s="381">
        <v>844523</v>
      </c>
      <c r="G30" s="381"/>
      <c r="H30" s="381">
        <v>26700</v>
      </c>
      <c r="I30" s="379">
        <f t="shared" si="9"/>
        <v>871223</v>
      </c>
      <c r="J30" s="383"/>
      <c r="K30" s="381"/>
      <c r="L30" s="381"/>
      <c r="M30" s="381"/>
      <c r="N30" s="382"/>
      <c r="O30" s="396"/>
      <c r="P30" s="381"/>
      <c r="Q30" s="381"/>
      <c r="R30" s="382"/>
    </row>
    <row r="31" spans="1:18" x14ac:dyDescent="0.2">
      <c r="A31" s="23"/>
      <c r="B31" s="13">
        <v>2021</v>
      </c>
      <c r="C31" s="383"/>
      <c r="D31" s="381"/>
      <c r="E31" s="381"/>
      <c r="F31" s="381">
        <v>705403</v>
      </c>
      <c r="G31" s="381"/>
      <c r="H31" s="381"/>
      <c r="I31" s="379">
        <f t="shared" si="9"/>
        <v>705403</v>
      </c>
      <c r="J31" s="383"/>
      <c r="K31" s="381"/>
      <c r="L31" s="381"/>
      <c r="M31" s="381"/>
      <c r="N31" s="382"/>
      <c r="O31" s="396"/>
      <c r="P31" s="381"/>
      <c r="Q31" s="381"/>
      <c r="R31" s="382"/>
    </row>
    <row r="32" spans="1:18" ht="12.75" thickBot="1" x14ac:dyDescent="0.25">
      <c r="A32" s="25"/>
      <c r="B32" s="95" t="s">
        <v>419</v>
      </c>
      <c r="C32" s="389"/>
      <c r="D32" s="387"/>
      <c r="E32" s="387"/>
      <c r="F32" s="387">
        <f>+((F31/F30)-1)*100</f>
        <v>-16.473204400590625</v>
      </c>
      <c r="G32" s="387">
        <f t="shared" ref="G32" si="10">-G30-G31</f>
        <v>0</v>
      </c>
      <c r="H32" s="387">
        <f>+((H31/H30)-1)*100</f>
        <v>-100</v>
      </c>
      <c r="I32" s="387">
        <f>+((I31/I30)-1)*100</f>
        <v>-19.033014509488389</v>
      </c>
      <c r="J32" s="389"/>
      <c r="K32" s="387"/>
      <c r="L32" s="387"/>
      <c r="M32" s="387"/>
      <c r="N32" s="388"/>
      <c r="O32" s="398"/>
      <c r="P32" s="387"/>
      <c r="Q32" s="387"/>
      <c r="R32" s="388"/>
    </row>
    <row r="33" spans="1:18" ht="12.75" thickBot="1" x14ac:dyDescent="0.25">
      <c r="A33" s="20" t="s">
        <v>241</v>
      </c>
      <c r="B33" s="56">
        <v>2019</v>
      </c>
      <c r="C33" s="380"/>
      <c r="D33" s="378"/>
      <c r="E33" s="378"/>
      <c r="F33" s="378">
        <v>63170</v>
      </c>
      <c r="G33" s="378"/>
      <c r="H33" s="378"/>
      <c r="I33" s="379">
        <f t="shared" ref="I33:I35" si="11">+SUM(C33:H33)</f>
        <v>63170</v>
      </c>
      <c r="J33" s="380"/>
      <c r="K33" s="378"/>
      <c r="L33" s="378"/>
      <c r="M33" s="378"/>
      <c r="N33" s="379"/>
      <c r="O33" s="395"/>
      <c r="P33" s="378"/>
      <c r="Q33" s="378"/>
      <c r="R33" s="379"/>
    </row>
    <row r="34" spans="1:18" ht="12.75" thickBot="1" x14ac:dyDescent="0.25">
      <c r="A34" s="23"/>
      <c r="B34" s="13">
        <v>2020</v>
      </c>
      <c r="C34" s="383"/>
      <c r="D34" s="381"/>
      <c r="E34" s="381"/>
      <c r="F34" s="381">
        <v>359503</v>
      </c>
      <c r="G34" s="381"/>
      <c r="H34" s="381"/>
      <c r="I34" s="379">
        <f t="shared" si="11"/>
        <v>359503</v>
      </c>
      <c r="J34" s="383"/>
      <c r="K34" s="381"/>
      <c r="L34" s="381"/>
      <c r="M34" s="381"/>
      <c r="N34" s="382"/>
      <c r="O34" s="396"/>
      <c r="P34" s="381"/>
      <c r="Q34" s="381"/>
      <c r="R34" s="382"/>
    </row>
    <row r="35" spans="1:18" x14ac:dyDescent="0.2">
      <c r="A35" s="23"/>
      <c r="B35" s="13">
        <v>2021</v>
      </c>
      <c r="C35" s="383"/>
      <c r="D35" s="381"/>
      <c r="E35" s="381"/>
      <c r="F35" s="381">
        <v>295536</v>
      </c>
      <c r="G35" s="381"/>
      <c r="H35" s="381"/>
      <c r="I35" s="379">
        <f t="shared" si="11"/>
        <v>295536</v>
      </c>
      <c r="J35" s="383"/>
      <c r="K35" s="381"/>
      <c r="L35" s="381"/>
      <c r="M35" s="381"/>
      <c r="N35" s="382"/>
      <c r="O35" s="396"/>
      <c r="P35" s="381"/>
      <c r="Q35" s="381"/>
      <c r="R35" s="382"/>
    </row>
    <row r="36" spans="1:18" ht="12.75" thickBot="1" x14ac:dyDescent="0.25">
      <c r="A36" s="25"/>
      <c r="B36" s="95" t="s">
        <v>419</v>
      </c>
      <c r="C36" s="389"/>
      <c r="D36" s="387"/>
      <c r="E36" s="387"/>
      <c r="F36" s="387">
        <f>+((F35/F34)-1)*100</f>
        <v>-17.793175578506993</v>
      </c>
      <c r="G36" s="387"/>
      <c r="H36" s="387"/>
      <c r="I36" s="387">
        <f>+((I35/I34)-1)*100</f>
        <v>-17.793175578506993</v>
      </c>
      <c r="J36" s="389"/>
      <c r="K36" s="387"/>
      <c r="L36" s="387"/>
      <c r="M36" s="387"/>
      <c r="N36" s="388"/>
      <c r="O36" s="398"/>
      <c r="P36" s="387"/>
      <c r="Q36" s="387"/>
      <c r="R36" s="388"/>
    </row>
    <row r="37" spans="1:18" ht="12.75" thickBot="1" x14ac:dyDescent="0.25">
      <c r="A37" s="20" t="s">
        <v>242</v>
      </c>
      <c r="B37" s="56">
        <v>2019</v>
      </c>
      <c r="C37" s="380"/>
      <c r="D37" s="378"/>
      <c r="E37" s="378"/>
      <c r="F37" s="378">
        <v>181943</v>
      </c>
      <c r="G37" s="378"/>
      <c r="H37" s="378"/>
      <c r="I37" s="379">
        <f t="shared" ref="I37:I39" si="12">+SUM(C37:H37)</f>
        <v>181943</v>
      </c>
      <c r="J37" s="380"/>
      <c r="K37" s="378"/>
      <c r="L37" s="378"/>
      <c r="M37" s="378"/>
      <c r="N37" s="379"/>
      <c r="O37" s="395"/>
      <c r="P37" s="378"/>
      <c r="Q37" s="378"/>
      <c r="R37" s="379"/>
    </row>
    <row r="38" spans="1:18" ht="12.75" thickBot="1" x14ac:dyDescent="0.25">
      <c r="A38" s="23"/>
      <c r="B38" s="13">
        <v>2020</v>
      </c>
      <c r="C38" s="383"/>
      <c r="D38" s="381"/>
      <c r="E38" s="381"/>
      <c r="F38" s="381">
        <v>334379</v>
      </c>
      <c r="G38" s="381"/>
      <c r="H38" s="381"/>
      <c r="I38" s="379">
        <f t="shared" si="12"/>
        <v>334379</v>
      </c>
      <c r="J38" s="383"/>
      <c r="K38" s="381"/>
      <c r="L38" s="381"/>
      <c r="M38" s="381"/>
      <c r="N38" s="382"/>
      <c r="O38" s="396"/>
      <c r="P38" s="381"/>
      <c r="Q38" s="381"/>
      <c r="R38" s="382"/>
    </row>
    <row r="39" spans="1:18" x14ac:dyDescent="0.2">
      <c r="A39" s="23"/>
      <c r="B39" s="13">
        <v>2021</v>
      </c>
      <c r="C39" s="383"/>
      <c r="D39" s="381"/>
      <c r="E39" s="381"/>
      <c r="F39" s="381">
        <v>303102</v>
      </c>
      <c r="G39" s="381"/>
      <c r="H39" s="381"/>
      <c r="I39" s="379">
        <f t="shared" si="12"/>
        <v>303102</v>
      </c>
      <c r="J39" s="383"/>
      <c r="K39" s="381"/>
      <c r="L39" s="381"/>
      <c r="M39" s="381"/>
      <c r="N39" s="382"/>
      <c r="O39" s="396"/>
      <c r="P39" s="381"/>
      <c r="Q39" s="381"/>
      <c r="R39" s="382"/>
    </row>
    <row r="40" spans="1:18" ht="12.75" thickBot="1" x14ac:dyDescent="0.25">
      <c r="A40" s="25"/>
      <c r="B40" s="95" t="s">
        <v>419</v>
      </c>
      <c r="C40" s="389"/>
      <c r="D40" s="387"/>
      <c r="E40" s="387"/>
      <c r="F40" s="387">
        <f>+((F39/F38)-1)*100</f>
        <v>-9.3537572634645123</v>
      </c>
      <c r="G40" s="387"/>
      <c r="H40" s="387"/>
      <c r="I40" s="387">
        <f>+((I39/I38)-1)*100</f>
        <v>-9.3537572634645123</v>
      </c>
      <c r="J40" s="389"/>
      <c r="K40" s="387"/>
      <c r="L40" s="387"/>
      <c r="M40" s="387"/>
      <c r="N40" s="388"/>
      <c r="O40" s="398"/>
      <c r="P40" s="387"/>
      <c r="Q40" s="387"/>
      <c r="R40" s="388"/>
    </row>
    <row r="41" spans="1:18" ht="12.75" thickBot="1" x14ac:dyDescent="0.25">
      <c r="A41" s="20" t="s">
        <v>243</v>
      </c>
      <c r="B41" s="56">
        <v>2019</v>
      </c>
      <c r="C41" s="380"/>
      <c r="D41" s="378">
        <v>4648296</v>
      </c>
      <c r="E41" s="378"/>
      <c r="F41" s="378">
        <v>4029097</v>
      </c>
      <c r="G41" s="378"/>
      <c r="H41" s="378"/>
      <c r="I41" s="379">
        <f t="shared" ref="I41:I43" si="13">+SUM(C41:H41)</f>
        <v>8677393</v>
      </c>
      <c r="J41" s="380"/>
      <c r="K41" s="378"/>
      <c r="L41" s="378"/>
      <c r="M41" s="378"/>
      <c r="N41" s="379">
        <f t="shared" ref="N41:N43" si="14">+SUM(J41:M41)</f>
        <v>0</v>
      </c>
      <c r="O41" s="395"/>
      <c r="P41" s="378"/>
      <c r="Q41" s="378"/>
      <c r="R41" s="379"/>
    </row>
    <row r="42" spans="1:18" ht="12.75" thickBot="1" x14ac:dyDescent="0.25">
      <c r="A42" s="23"/>
      <c r="B42" s="13">
        <v>2020</v>
      </c>
      <c r="C42" s="383"/>
      <c r="D42" s="381">
        <v>4509205</v>
      </c>
      <c r="E42" s="381"/>
      <c r="F42" s="381">
        <v>3679649</v>
      </c>
      <c r="G42" s="381"/>
      <c r="H42" s="381"/>
      <c r="I42" s="379">
        <f t="shared" si="13"/>
        <v>8188854</v>
      </c>
      <c r="J42" s="383"/>
      <c r="K42" s="381"/>
      <c r="L42" s="381">
        <v>16774811</v>
      </c>
      <c r="M42" s="381"/>
      <c r="N42" s="379">
        <f t="shared" si="14"/>
        <v>16774811</v>
      </c>
      <c r="O42" s="396"/>
      <c r="P42" s="381"/>
      <c r="Q42" s="381"/>
      <c r="R42" s="382"/>
    </row>
    <row r="43" spans="1:18" x14ac:dyDescent="0.2">
      <c r="A43" s="23"/>
      <c r="B43" s="13">
        <v>2021</v>
      </c>
      <c r="C43" s="383"/>
      <c r="D43" s="381">
        <v>4462589</v>
      </c>
      <c r="E43" s="381"/>
      <c r="F43" s="381">
        <v>3819783</v>
      </c>
      <c r="G43" s="381"/>
      <c r="H43" s="381"/>
      <c r="I43" s="379">
        <f t="shared" si="13"/>
        <v>8282372</v>
      </c>
      <c r="J43" s="383"/>
      <c r="K43" s="381"/>
      <c r="L43" s="381">
        <v>18316571</v>
      </c>
      <c r="M43" s="381"/>
      <c r="N43" s="379">
        <f t="shared" si="14"/>
        <v>18316571</v>
      </c>
      <c r="O43" s="396"/>
      <c r="P43" s="381"/>
      <c r="Q43" s="381"/>
      <c r="R43" s="382"/>
    </row>
    <row r="44" spans="1:18" ht="12.75" thickBot="1" x14ac:dyDescent="0.25">
      <c r="A44" s="25"/>
      <c r="B44" s="95" t="s">
        <v>419</v>
      </c>
      <c r="C44" s="389"/>
      <c r="D44" s="387">
        <f>+((D43/D42)-1)*100</f>
        <v>-1.0337964230945351</v>
      </c>
      <c r="E44" s="387"/>
      <c r="F44" s="387">
        <f>+((F43/F42)-1)*100</f>
        <v>3.8083523727399093</v>
      </c>
      <c r="G44" s="387"/>
      <c r="H44" s="387"/>
      <c r="I44" s="387">
        <f>+((I43/I42)-1)*100</f>
        <v>1.1420157203926307</v>
      </c>
      <c r="J44" s="389"/>
      <c r="K44" s="387"/>
      <c r="L44" s="387">
        <f>+((L43/L42)-1)*100</f>
        <v>9.190923224112634</v>
      </c>
      <c r="M44" s="387"/>
      <c r="N44" s="387">
        <f>+((N43/N42)-1)*100</f>
        <v>9.190923224112634</v>
      </c>
      <c r="O44" s="398"/>
      <c r="P44" s="387"/>
      <c r="Q44" s="387"/>
      <c r="R44" s="388"/>
    </row>
    <row r="45" spans="1:18" ht="12.75" thickBot="1" x14ac:dyDescent="0.25">
      <c r="A45" s="20" t="s">
        <v>244</v>
      </c>
      <c r="B45" s="56">
        <v>2019</v>
      </c>
      <c r="C45" s="380"/>
      <c r="D45" s="378"/>
      <c r="E45" s="378"/>
      <c r="F45" s="378">
        <v>116583</v>
      </c>
      <c r="G45" s="378"/>
      <c r="H45" s="378"/>
      <c r="I45" s="379">
        <f t="shared" ref="I45:I47" si="15">+SUM(C45:H45)</f>
        <v>116583</v>
      </c>
      <c r="J45" s="380"/>
      <c r="K45" s="378"/>
      <c r="L45" s="378">
        <v>200000</v>
      </c>
      <c r="M45" s="378"/>
      <c r="N45" s="379">
        <f>+SUM(J45:M45)</f>
        <v>200000</v>
      </c>
      <c r="O45" s="395"/>
      <c r="P45" s="378"/>
      <c r="Q45" s="378"/>
      <c r="R45" s="379"/>
    </row>
    <row r="46" spans="1:18" ht="12.75" thickBot="1" x14ac:dyDescent="0.25">
      <c r="A46" s="23"/>
      <c r="B46" s="13">
        <v>2020</v>
      </c>
      <c r="C46" s="383"/>
      <c r="D46" s="381"/>
      <c r="E46" s="381"/>
      <c r="F46" s="381">
        <v>245803</v>
      </c>
      <c r="G46" s="381"/>
      <c r="H46" s="381"/>
      <c r="I46" s="379">
        <f t="shared" si="15"/>
        <v>245803</v>
      </c>
      <c r="J46" s="383"/>
      <c r="K46" s="381"/>
      <c r="L46" s="381"/>
      <c r="M46" s="381"/>
      <c r="N46" s="379">
        <f t="shared" ref="N46:N47" si="16">+SUM(J46:M46)</f>
        <v>0</v>
      </c>
      <c r="O46" s="396"/>
      <c r="P46" s="381"/>
      <c r="Q46" s="381"/>
      <c r="R46" s="382"/>
    </row>
    <row r="47" spans="1:18" x14ac:dyDescent="0.2">
      <c r="A47" s="23"/>
      <c r="B47" s="13">
        <v>2021</v>
      </c>
      <c r="C47" s="383"/>
      <c r="D47" s="381"/>
      <c r="E47" s="381"/>
      <c r="F47" s="381">
        <v>304597</v>
      </c>
      <c r="G47" s="381"/>
      <c r="H47" s="381"/>
      <c r="I47" s="379">
        <f t="shared" si="15"/>
        <v>304597</v>
      </c>
      <c r="J47" s="383"/>
      <c r="K47" s="381"/>
      <c r="L47" s="381">
        <v>9064533</v>
      </c>
      <c r="M47" s="381"/>
      <c r="N47" s="379">
        <f t="shared" si="16"/>
        <v>9064533</v>
      </c>
      <c r="O47" s="396"/>
      <c r="P47" s="381"/>
      <c r="Q47" s="381"/>
      <c r="R47" s="382"/>
    </row>
    <row r="48" spans="1:18" ht="12.75" thickBot="1" x14ac:dyDescent="0.25">
      <c r="A48" s="25"/>
      <c r="B48" s="95" t="s">
        <v>419</v>
      </c>
      <c r="C48" s="389"/>
      <c r="D48" s="387"/>
      <c r="E48" s="387"/>
      <c r="F48" s="387">
        <f>+((F47/F46)-1)*100</f>
        <v>23.919154770283523</v>
      </c>
      <c r="G48" s="387"/>
      <c r="H48" s="387"/>
      <c r="I48" s="387">
        <f>+((I47/I46)-1)*100</f>
        <v>23.919154770283523</v>
      </c>
      <c r="J48" s="389"/>
      <c r="K48" s="387"/>
      <c r="L48" s="387" t="e">
        <f>+((L47/L46)-1)*100</f>
        <v>#DIV/0!</v>
      </c>
      <c r="M48" s="387"/>
      <c r="N48" s="387" t="e">
        <f>+((N47/N46)-1)*100</f>
        <v>#DIV/0!</v>
      </c>
      <c r="O48" s="398"/>
      <c r="P48" s="387"/>
      <c r="Q48" s="387"/>
      <c r="R48" s="400"/>
    </row>
    <row r="49" spans="1:18" ht="12.75" thickBot="1" x14ac:dyDescent="0.25">
      <c r="A49" s="20" t="s">
        <v>245</v>
      </c>
      <c r="B49" s="56">
        <v>2019</v>
      </c>
      <c r="C49" s="380"/>
      <c r="D49" s="378"/>
      <c r="E49" s="378"/>
      <c r="F49" s="378">
        <v>4580</v>
      </c>
      <c r="G49" s="378"/>
      <c r="H49" s="378"/>
      <c r="I49" s="379">
        <f t="shared" ref="I49:I51" si="17">+SUM(C49:H49)</f>
        <v>4580</v>
      </c>
      <c r="J49" s="380"/>
      <c r="K49" s="378"/>
      <c r="L49" s="378">
        <v>1843393</v>
      </c>
      <c r="M49" s="378"/>
      <c r="N49" s="379">
        <f t="shared" ref="N49:N51" si="18">+SUM(J49:M49)</f>
        <v>1843393</v>
      </c>
      <c r="O49" s="395"/>
      <c r="P49" s="378"/>
      <c r="Q49" s="378"/>
      <c r="R49" s="379"/>
    </row>
    <row r="50" spans="1:18" ht="12.75" thickBot="1" x14ac:dyDescent="0.25">
      <c r="A50" s="23"/>
      <c r="B50" s="13">
        <v>2020</v>
      </c>
      <c r="C50" s="383"/>
      <c r="D50" s="381"/>
      <c r="E50" s="381"/>
      <c r="F50" s="381">
        <v>3836</v>
      </c>
      <c r="G50" s="381"/>
      <c r="H50" s="381"/>
      <c r="I50" s="379">
        <f t="shared" si="17"/>
        <v>3836</v>
      </c>
      <c r="J50" s="383"/>
      <c r="K50" s="381"/>
      <c r="L50" s="381">
        <v>8845538</v>
      </c>
      <c r="M50" s="381"/>
      <c r="N50" s="379">
        <f t="shared" si="18"/>
        <v>8845538</v>
      </c>
      <c r="O50" s="396"/>
      <c r="P50" s="381"/>
      <c r="Q50" s="381"/>
      <c r="R50" s="382"/>
    </row>
    <row r="51" spans="1:18" x14ac:dyDescent="0.2">
      <c r="A51" s="23"/>
      <c r="B51" s="13">
        <v>2021</v>
      </c>
      <c r="C51" s="383"/>
      <c r="D51" s="381"/>
      <c r="E51" s="381"/>
      <c r="F51" s="381">
        <v>3836</v>
      </c>
      <c r="G51" s="381"/>
      <c r="H51" s="381"/>
      <c r="I51" s="379">
        <f t="shared" si="17"/>
        <v>3836</v>
      </c>
      <c r="J51" s="383"/>
      <c r="K51" s="381"/>
      <c r="L51" s="381"/>
      <c r="M51" s="381"/>
      <c r="N51" s="379">
        <f t="shared" si="18"/>
        <v>0</v>
      </c>
      <c r="O51" s="396"/>
      <c r="P51" s="381"/>
      <c r="Q51" s="381"/>
      <c r="R51" s="382"/>
    </row>
    <row r="52" spans="1:18" ht="12.75" thickBot="1" x14ac:dyDescent="0.25">
      <c r="A52" s="25"/>
      <c r="B52" s="95" t="s">
        <v>419</v>
      </c>
      <c r="C52" s="389"/>
      <c r="D52" s="387"/>
      <c r="E52" s="387"/>
      <c r="F52" s="387">
        <f>+((F51/F50)-1)*100</f>
        <v>0</v>
      </c>
      <c r="G52" s="387"/>
      <c r="H52" s="387"/>
      <c r="I52" s="387">
        <f>+((I51/I50)-1)*100</f>
        <v>0</v>
      </c>
      <c r="J52" s="389"/>
      <c r="K52" s="387"/>
      <c r="L52" s="387">
        <f>+((L51/L50)-1)*100</f>
        <v>-100</v>
      </c>
      <c r="M52" s="387"/>
      <c r="N52" s="387">
        <f>+((N51/N50)-1)*100</f>
        <v>-100</v>
      </c>
      <c r="O52" s="398"/>
      <c r="P52" s="387"/>
      <c r="Q52" s="387"/>
      <c r="R52" s="388"/>
    </row>
    <row r="53" spans="1:18" ht="12.75" thickBot="1" x14ac:dyDescent="0.25">
      <c r="A53" s="20" t="s">
        <v>246</v>
      </c>
      <c r="B53" s="56">
        <v>2019</v>
      </c>
      <c r="C53" s="380"/>
      <c r="D53" s="378"/>
      <c r="E53" s="378"/>
      <c r="F53" s="378">
        <v>25519</v>
      </c>
      <c r="G53" s="378"/>
      <c r="H53" s="378"/>
      <c r="I53" s="379">
        <f t="shared" ref="I53:I55" si="19">+SUM(C53:H53)</f>
        <v>25519</v>
      </c>
      <c r="J53" s="380"/>
      <c r="K53" s="378"/>
      <c r="L53" s="378"/>
      <c r="M53" s="378"/>
      <c r="N53" s="379"/>
      <c r="O53" s="395"/>
      <c r="P53" s="378"/>
      <c r="Q53" s="378"/>
      <c r="R53" s="379"/>
    </row>
    <row r="54" spans="1:18" ht="12.75" thickBot="1" x14ac:dyDescent="0.25">
      <c r="A54" s="23"/>
      <c r="B54" s="13">
        <v>2020</v>
      </c>
      <c r="C54" s="383"/>
      <c r="D54" s="381"/>
      <c r="E54" s="381"/>
      <c r="F54" s="381">
        <v>137385</v>
      </c>
      <c r="G54" s="381"/>
      <c r="H54" s="381"/>
      <c r="I54" s="379">
        <f t="shared" si="19"/>
        <v>137385</v>
      </c>
      <c r="J54" s="383"/>
      <c r="K54" s="381"/>
      <c r="L54" s="381"/>
      <c r="M54" s="381"/>
      <c r="N54" s="382"/>
      <c r="O54" s="396"/>
      <c r="P54" s="381"/>
      <c r="Q54" s="381"/>
      <c r="R54" s="382"/>
    </row>
    <row r="55" spans="1:18" x14ac:dyDescent="0.2">
      <c r="A55" s="23"/>
      <c r="B55" s="13">
        <v>2021</v>
      </c>
      <c r="C55" s="383"/>
      <c r="D55" s="381"/>
      <c r="E55" s="381"/>
      <c r="F55" s="381">
        <v>132456</v>
      </c>
      <c r="G55" s="381"/>
      <c r="H55" s="381"/>
      <c r="I55" s="379">
        <f t="shared" si="19"/>
        <v>132456</v>
      </c>
      <c r="J55" s="383"/>
      <c r="K55" s="381"/>
      <c r="L55" s="381"/>
      <c r="M55" s="381"/>
      <c r="N55" s="382"/>
      <c r="O55" s="396"/>
      <c r="P55" s="381"/>
      <c r="Q55" s="381"/>
      <c r="R55" s="382"/>
    </row>
    <row r="56" spans="1:18" ht="12.75" thickBot="1" x14ac:dyDescent="0.25">
      <c r="A56" s="25"/>
      <c r="B56" s="95" t="s">
        <v>419</v>
      </c>
      <c r="C56" s="389"/>
      <c r="D56" s="387"/>
      <c r="E56" s="387"/>
      <c r="F56" s="387">
        <f>+((F55/F54)-1)*100</f>
        <v>-3.5877279178949673</v>
      </c>
      <c r="G56" s="387"/>
      <c r="H56" s="387"/>
      <c r="I56" s="387">
        <f>+((I55/I54)-1)*100</f>
        <v>-3.5877279178949673</v>
      </c>
      <c r="J56" s="389"/>
      <c r="K56" s="387"/>
      <c r="L56" s="387"/>
      <c r="M56" s="387"/>
      <c r="N56" s="388"/>
      <c r="O56" s="398"/>
      <c r="P56" s="387"/>
      <c r="Q56" s="387"/>
      <c r="R56" s="388"/>
    </row>
    <row r="57" spans="1:18" ht="12.75" thickBot="1" x14ac:dyDescent="0.25">
      <c r="A57" s="20" t="s">
        <v>247</v>
      </c>
      <c r="B57" s="56">
        <v>2019</v>
      </c>
      <c r="C57" s="380"/>
      <c r="D57" s="378"/>
      <c r="E57" s="378"/>
      <c r="F57" s="378">
        <v>1120</v>
      </c>
      <c r="G57" s="378"/>
      <c r="H57" s="378"/>
      <c r="I57" s="379">
        <f t="shared" ref="I57:I59" si="20">+SUM(C57:H57)</f>
        <v>1120</v>
      </c>
      <c r="J57" s="380"/>
      <c r="K57" s="378"/>
      <c r="L57" s="378"/>
      <c r="M57" s="378"/>
      <c r="N57" s="379"/>
      <c r="O57" s="395"/>
      <c r="P57" s="378"/>
      <c r="Q57" s="378"/>
      <c r="R57" s="379"/>
    </row>
    <row r="58" spans="1:18" ht="12.75" thickBot="1" x14ac:dyDescent="0.25">
      <c r="A58" s="23"/>
      <c r="B58" s="13">
        <v>2020</v>
      </c>
      <c r="C58" s="383"/>
      <c r="D58" s="381"/>
      <c r="E58" s="381"/>
      <c r="F58" s="381">
        <v>9900</v>
      </c>
      <c r="G58" s="381"/>
      <c r="H58" s="381"/>
      <c r="I58" s="379">
        <f t="shared" si="20"/>
        <v>9900</v>
      </c>
      <c r="J58" s="383"/>
      <c r="K58" s="381"/>
      <c r="L58" s="381"/>
      <c r="M58" s="381"/>
      <c r="N58" s="382"/>
      <c r="O58" s="396"/>
      <c r="P58" s="381"/>
      <c r="Q58" s="381"/>
      <c r="R58" s="382"/>
    </row>
    <row r="59" spans="1:18" x14ac:dyDescent="0.2">
      <c r="A59" s="23"/>
      <c r="B59" s="13">
        <v>2021</v>
      </c>
      <c r="C59" s="383"/>
      <c r="D59" s="381"/>
      <c r="E59" s="381"/>
      <c r="F59" s="381">
        <v>9900</v>
      </c>
      <c r="G59" s="381"/>
      <c r="H59" s="381"/>
      <c r="I59" s="379">
        <f t="shared" si="20"/>
        <v>9900</v>
      </c>
      <c r="J59" s="383"/>
      <c r="K59" s="381"/>
      <c r="L59" s="381"/>
      <c r="M59" s="381"/>
      <c r="N59" s="382"/>
      <c r="O59" s="396"/>
      <c r="P59" s="381"/>
      <c r="Q59" s="381"/>
      <c r="R59" s="382"/>
    </row>
    <row r="60" spans="1:18" ht="12.75" thickBot="1" x14ac:dyDescent="0.25">
      <c r="A60" s="25"/>
      <c r="B60" s="95" t="s">
        <v>419</v>
      </c>
      <c r="C60" s="389"/>
      <c r="D60" s="387"/>
      <c r="E60" s="387"/>
      <c r="F60" s="387">
        <f>+((F59/F58)-1)*100</f>
        <v>0</v>
      </c>
      <c r="G60" s="387"/>
      <c r="H60" s="387"/>
      <c r="I60" s="387">
        <f>+((I59/I58)-1)*100</f>
        <v>0</v>
      </c>
      <c r="J60" s="389"/>
      <c r="K60" s="387"/>
      <c r="L60" s="387"/>
      <c r="M60" s="387"/>
      <c r="N60" s="388"/>
      <c r="O60" s="398"/>
      <c r="P60" s="387"/>
      <c r="Q60" s="387"/>
      <c r="R60" s="388"/>
    </row>
    <row r="61" spans="1:18" ht="12.75" thickBot="1" x14ac:dyDescent="0.25">
      <c r="A61" s="20" t="s">
        <v>248</v>
      </c>
      <c r="B61" s="56">
        <v>2019</v>
      </c>
      <c r="C61" s="380"/>
      <c r="D61" s="378">
        <v>2886969</v>
      </c>
      <c r="E61" s="394"/>
      <c r="F61" s="378">
        <v>2200844</v>
      </c>
      <c r="G61" s="378"/>
      <c r="H61" s="378"/>
      <c r="I61" s="379">
        <f t="shared" ref="I61:I63" si="21">+SUM(C61:H61)</f>
        <v>5087813</v>
      </c>
      <c r="J61" s="380"/>
      <c r="K61" s="378"/>
      <c r="L61" s="378">
        <v>40457239</v>
      </c>
      <c r="M61" s="378"/>
      <c r="N61" s="379">
        <f t="shared" ref="N61:N63" si="22">+SUM(J61:M61)</f>
        <v>40457239</v>
      </c>
      <c r="O61" s="395"/>
      <c r="P61" s="378"/>
      <c r="Q61" s="378"/>
      <c r="R61" s="379"/>
    </row>
    <row r="62" spans="1:18" ht="12.75" thickBot="1" x14ac:dyDescent="0.25">
      <c r="A62" s="23"/>
      <c r="B62" s="13">
        <v>2020</v>
      </c>
      <c r="C62" s="383"/>
      <c r="D62" s="381">
        <v>2922254</v>
      </c>
      <c r="E62" s="381"/>
      <c r="F62" s="381">
        <v>13896255</v>
      </c>
      <c r="G62" s="381"/>
      <c r="H62" s="381"/>
      <c r="I62" s="379">
        <f t="shared" si="21"/>
        <v>16818509</v>
      </c>
      <c r="J62" s="383"/>
      <c r="K62" s="381"/>
      <c r="L62" s="381">
        <v>65974060</v>
      </c>
      <c r="M62" s="381"/>
      <c r="N62" s="379">
        <f t="shared" si="22"/>
        <v>65974060</v>
      </c>
      <c r="O62" s="396"/>
      <c r="P62" s="381"/>
      <c r="Q62" s="381"/>
      <c r="R62" s="382"/>
    </row>
    <row r="63" spans="1:18" x14ac:dyDescent="0.2">
      <c r="A63" s="23"/>
      <c r="B63" s="13">
        <v>2021</v>
      </c>
      <c r="C63" s="383"/>
      <c r="D63" s="381">
        <v>3394688</v>
      </c>
      <c r="E63" s="381"/>
      <c r="F63" s="381">
        <v>3694436</v>
      </c>
      <c r="G63" s="381"/>
      <c r="H63" s="381"/>
      <c r="I63" s="379">
        <f t="shared" si="21"/>
        <v>7089124</v>
      </c>
      <c r="J63" s="383"/>
      <c r="K63" s="381"/>
      <c r="L63" s="381">
        <v>100692026</v>
      </c>
      <c r="M63" s="381"/>
      <c r="N63" s="379">
        <f t="shared" si="22"/>
        <v>100692026</v>
      </c>
      <c r="O63" s="396"/>
      <c r="P63" s="381"/>
      <c r="Q63" s="381"/>
      <c r="R63" s="382"/>
    </row>
    <row r="64" spans="1:18" ht="12.75" thickBot="1" x14ac:dyDescent="0.25">
      <c r="A64" s="25"/>
      <c r="B64" s="95" t="s">
        <v>419</v>
      </c>
      <c r="C64" s="389"/>
      <c r="D64" s="387">
        <f>+((D63/D62)-1)*100</f>
        <v>16.166767159870421</v>
      </c>
      <c r="E64" s="387"/>
      <c r="F64" s="387">
        <f>+((F63/F62)-1)*100</f>
        <v>-73.414160865643296</v>
      </c>
      <c r="G64" s="387"/>
      <c r="H64" s="387"/>
      <c r="I64" s="387">
        <f>+((I63/I62)-1)*100</f>
        <v>-57.849271894434871</v>
      </c>
      <c r="J64" s="389"/>
      <c r="K64" s="387"/>
      <c r="L64" s="387">
        <f>+((L63/L62)-1)*100</f>
        <v>52.623661481497422</v>
      </c>
      <c r="M64" s="387"/>
      <c r="N64" s="387">
        <f>+((N63/N62)-1)*100</f>
        <v>52.623661481497422</v>
      </c>
      <c r="O64" s="398"/>
      <c r="P64" s="387"/>
      <c r="Q64" s="387"/>
      <c r="R64" s="388"/>
    </row>
    <row r="65" spans="1:18" ht="12.75" thickBot="1" x14ac:dyDescent="0.25">
      <c r="A65" s="20" t="s">
        <v>249</v>
      </c>
      <c r="B65" s="56">
        <v>2019</v>
      </c>
      <c r="C65" s="380"/>
      <c r="D65" s="378"/>
      <c r="E65" s="378"/>
      <c r="F65" s="378"/>
      <c r="G65" s="378"/>
      <c r="H65" s="378"/>
      <c r="I65" s="379">
        <f t="shared" ref="I65:I67" si="23">+SUM(C65:H65)</f>
        <v>0</v>
      </c>
      <c r="J65" s="380"/>
      <c r="K65" s="378"/>
      <c r="L65" s="378"/>
      <c r="M65" s="378"/>
      <c r="N65" s="379"/>
      <c r="O65" s="395"/>
      <c r="P65" s="378"/>
      <c r="Q65" s="378"/>
      <c r="R65" s="379"/>
    </row>
    <row r="66" spans="1:18" ht="12.75" thickBot="1" x14ac:dyDescent="0.25">
      <c r="A66" s="23"/>
      <c r="B66" s="13">
        <v>2020</v>
      </c>
      <c r="C66" s="383"/>
      <c r="D66" s="381"/>
      <c r="E66" s="381"/>
      <c r="F66" s="381"/>
      <c r="G66" s="381"/>
      <c r="H66" s="381"/>
      <c r="I66" s="379">
        <f t="shared" si="23"/>
        <v>0</v>
      </c>
      <c r="J66" s="383"/>
      <c r="K66" s="381"/>
      <c r="L66" s="381"/>
      <c r="M66" s="381"/>
      <c r="N66" s="382"/>
      <c r="O66" s="396"/>
      <c r="P66" s="381"/>
      <c r="Q66" s="381"/>
      <c r="R66" s="382"/>
    </row>
    <row r="67" spans="1:18" x14ac:dyDescent="0.2">
      <c r="A67" s="23"/>
      <c r="B67" s="13">
        <v>2021</v>
      </c>
      <c r="C67" s="383"/>
      <c r="D67" s="381"/>
      <c r="E67" s="381"/>
      <c r="F67" s="381">
        <v>226685</v>
      </c>
      <c r="G67" s="381"/>
      <c r="H67" s="381"/>
      <c r="I67" s="379">
        <f t="shared" si="23"/>
        <v>226685</v>
      </c>
      <c r="J67" s="383"/>
      <c r="K67" s="381"/>
      <c r="L67" s="381"/>
      <c r="M67" s="381"/>
      <c r="N67" s="382"/>
      <c r="O67" s="396"/>
      <c r="P67" s="381"/>
      <c r="Q67" s="381"/>
      <c r="R67" s="382"/>
    </row>
    <row r="68" spans="1:18" ht="12.75" thickBot="1" x14ac:dyDescent="0.25">
      <c r="A68" s="25"/>
      <c r="B68" s="95" t="s">
        <v>419</v>
      </c>
      <c r="C68" s="389"/>
      <c r="D68" s="387"/>
      <c r="E68" s="387"/>
      <c r="F68" s="387" t="e">
        <f>+((F67/F66)-1)*100</f>
        <v>#DIV/0!</v>
      </c>
      <c r="G68" s="387"/>
      <c r="H68" s="387"/>
      <c r="I68" s="387" t="e">
        <f>+((I67/I66)-1)*100</f>
        <v>#DIV/0!</v>
      </c>
      <c r="J68" s="389"/>
      <c r="K68" s="387"/>
      <c r="L68" s="387"/>
      <c r="M68" s="387"/>
      <c r="N68" s="388"/>
      <c r="O68" s="398"/>
      <c r="P68" s="387"/>
      <c r="Q68" s="387"/>
      <c r="R68" s="388"/>
    </row>
    <row r="69" spans="1:18" ht="12.75" thickBot="1" x14ac:dyDescent="0.25">
      <c r="A69" s="20" t="s">
        <v>250</v>
      </c>
      <c r="B69" s="56">
        <v>2019</v>
      </c>
      <c r="C69" s="380"/>
      <c r="D69" s="378"/>
      <c r="E69" s="378"/>
      <c r="F69" s="378">
        <v>851236</v>
      </c>
      <c r="G69" s="378"/>
      <c r="H69" s="378"/>
      <c r="I69" s="379">
        <f t="shared" ref="I69:I71" si="24">+SUM(C69:H69)</f>
        <v>851236</v>
      </c>
      <c r="J69" s="380"/>
      <c r="K69" s="378"/>
      <c r="L69" s="378">
        <v>190524</v>
      </c>
      <c r="M69" s="378"/>
      <c r="N69" s="379">
        <f t="shared" ref="N69:N71" si="25">+SUM(J69:M69)</f>
        <v>190524</v>
      </c>
      <c r="O69" s="395"/>
      <c r="P69" s="378"/>
      <c r="Q69" s="378"/>
      <c r="R69" s="379"/>
    </row>
    <row r="70" spans="1:18" ht="12.75" thickBot="1" x14ac:dyDescent="0.25">
      <c r="A70" s="23"/>
      <c r="B70" s="13">
        <v>2020</v>
      </c>
      <c r="C70" s="383"/>
      <c r="D70" s="381"/>
      <c r="E70" s="381"/>
      <c r="F70" s="381">
        <v>1495525</v>
      </c>
      <c r="G70" s="381"/>
      <c r="H70" s="381"/>
      <c r="I70" s="379">
        <f t="shared" si="24"/>
        <v>1495525</v>
      </c>
      <c r="J70" s="383"/>
      <c r="K70" s="381"/>
      <c r="L70" s="381">
        <v>3173605</v>
      </c>
      <c r="M70" s="381"/>
      <c r="N70" s="379">
        <f t="shared" si="25"/>
        <v>3173605</v>
      </c>
      <c r="O70" s="396"/>
      <c r="P70" s="381"/>
      <c r="Q70" s="381"/>
      <c r="R70" s="382"/>
    </row>
    <row r="71" spans="1:18" x14ac:dyDescent="0.2">
      <c r="A71" s="23"/>
      <c r="B71" s="13">
        <v>2021</v>
      </c>
      <c r="C71" s="383"/>
      <c r="D71" s="381"/>
      <c r="E71" s="381"/>
      <c r="F71" s="381">
        <v>1209890</v>
      </c>
      <c r="G71" s="381"/>
      <c r="H71" s="381"/>
      <c r="I71" s="379">
        <f t="shared" si="24"/>
        <v>1209890</v>
      </c>
      <c r="J71" s="383"/>
      <c r="K71" s="381"/>
      <c r="L71" s="381">
        <v>2957291</v>
      </c>
      <c r="M71" s="381"/>
      <c r="N71" s="379">
        <f t="shared" si="25"/>
        <v>2957291</v>
      </c>
      <c r="O71" s="396"/>
      <c r="P71" s="381"/>
      <c r="Q71" s="381"/>
      <c r="R71" s="382"/>
    </row>
    <row r="72" spans="1:18" ht="12.75" thickBot="1" x14ac:dyDescent="0.25">
      <c r="A72" s="25"/>
      <c r="B72" s="95" t="s">
        <v>419</v>
      </c>
      <c r="C72" s="389"/>
      <c r="D72" s="387"/>
      <c r="E72" s="387"/>
      <c r="F72" s="387">
        <f>+((F71/F70)-1)*100</f>
        <v>-19.099312950301737</v>
      </c>
      <c r="G72" s="387"/>
      <c r="H72" s="387"/>
      <c r="I72" s="387">
        <f>+((I71/I70)-1)*100</f>
        <v>-19.099312950301737</v>
      </c>
      <c r="J72" s="389"/>
      <c r="K72" s="387"/>
      <c r="L72" s="387">
        <f>+((L71/L70)-1)*100</f>
        <v>-6.8160341315318114</v>
      </c>
      <c r="M72" s="387"/>
      <c r="N72" s="387">
        <f>+((N71/N70)-1)*100</f>
        <v>-6.8160341315318114</v>
      </c>
      <c r="O72" s="398"/>
      <c r="P72" s="387"/>
      <c r="Q72" s="387"/>
      <c r="R72" s="388"/>
    </row>
    <row r="73" spans="1:18" ht="12.75" thickBot="1" x14ac:dyDescent="0.25">
      <c r="A73" s="20" t="s">
        <v>251</v>
      </c>
      <c r="B73" s="56">
        <v>2019</v>
      </c>
      <c r="C73" s="380"/>
      <c r="D73" s="378"/>
      <c r="E73" s="378"/>
      <c r="F73" s="378">
        <v>653939</v>
      </c>
      <c r="G73" s="378"/>
      <c r="H73" s="378"/>
      <c r="I73" s="379">
        <f t="shared" ref="I73:I75" si="26">+SUM(C73:H73)</f>
        <v>653939</v>
      </c>
      <c r="J73" s="380"/>
      <c r="K73" s="378"/>
      <c r="L73" s="378">
        <v>1000</v>
      </c>
      <c r="M73" s="378"/>
      <c r="N73" s="379">
        <f t="shared" ref="N73:N75" si="27">+SUM(J73:M73)</f>
        <v>1000</v>
      </c>
      <c r="O73" s="395"/>
      <c r="P73" s="378"/>
      <c r="Q73" s="378"/>
      <c r="R73" s="379"/>
    </row>
    <row r="74" spans="1:18" ht="12.75" thickBot="1" x14ac:dyDescent="0.25">
      <c r="A74" s="23"/>
      <c r="B74" s="13">
        <v>2020</v>
      </c>
      <c r="C74" s="383"/>
      <c r="D74" s="381"/>
      <c r="E74" s="381"/>
      <c r="F74" s="394">
        <v>304874</v>
      </c>
      <c r="G74" s="394"/>
      <c r="H74" s="394"/>
      <c r="I74" s="379">
        <f t="shared" si="26"/>
        <v>304874</v>
      </c>
      <c r="J74" s="394"/>
      <c r="K74" s="394"/>
      <c r="L74" s="394"/>
      <c r="M74" s="381"/>
      <c r="N74" s="379">
        <f t="shared" si="27"/>
        <v>0</v>
      </c>
      <c r="O74" s="396"/>
      <c r="P74" s="381"/>
      <c r="Q74" s="381"/>
      <c r="R74" s="382"/>
    </row>
    <row r="75" spans="1:18" x14ac:dyDescent="0.2">
      <c r="A75" s="23"/>
      <c r="B75" s="13">
        <v>2021</v>
      </c>
      <c r="C75" s="383"/>
      <c r="D75" s="381"/>
      <c r="E75" s="381"/>
      <c r="F75" s="381">
        <v>107890</v>
      </c>
      <c r="G75" s="381"/>
      <c r="H75" s="381"/>
      <c r="I75" s="379">
        <f t="shared" si="26"/>
        <v>107890</v>
      </c>
      <c r="J75" s="383"/>
      <c r="K75" s="381"/>
      <c r="L75" s="381">
        <v>13609345</v>
      </c>
      <c r="M75" s="381"/>
      <c r="N75" s="379">
        <f t="shared" si="27"/>
        <v>13609345</v>
      </c>
      <c r="O75" s="396"/>
      <c r="P75" s="381"/>
      <c r="Q75" s="381"/>
      <c r="R75" s="382"/>
    </row>
    <row r="76" spans="1:18" ht="12.75" thickBot="1" x14ac:dyDescent="0.25">
      <c r="A76" s="25"/>
      <c r="B76" s="95" t="s">
        <v>419</v>
      </c>
      <c r="C76" s="389"/>
      <c r="D76" s="387"/>
      <c r="E76" s="387"/>
      <c r="F76" s="387">
        <f>+((F75/F74)-1)*100</f>
        <v>-64.611610042181368</v>
      </c>
      <c r="G76" s="387"/>
      <c r="H76" s="387"/>
      <c r="I76" s="387">
        <f>+((I75/I74)-1)*100</f>
        <v>-64.611610042181368</v>
      </c>
      <c r="J76" s="389"/>
      <c r="K76" s="387"/>
      <c r="L76" s="387" t="e">
        <f>+((L75/L74)-1)*100</f>
        <v>#DIV/0!</v>
      </c>
      <c r="M76" s="387"/>
      <c r="N76" s="387" t="e">
        <f>+((N75/N74)-1)*100</f>
        <v>#DIV/0!</v>
      </c>
      <c r="O76" s="398"/>
      <c r="P76" s="387"/>
      <c r="Q76" s="387"/>
      <c r="R76" s="388"/>
    </row>
    <row r="77" spans="1:18" ht="12.75" thickBot="1" x14ac:dyDescent="0.25">
      <c r="A77" s="20" t="s">
        <v>252</v>
      </c>
      <c r="B77" s="56">
        <v>2019</v>
      </c>
      <c r="C77" s="380"/>
      <c r="D77" s="378">
        <v>313358</v>
      </c>
      <c r="E77" s="378"/>
      <c r="F77" s="378">
        <v>50263</v>
      </c>
      <c r="G77" s="378"/>
      <c r="H77" s="378"/>
      <c r="I77" s="379">
        <f t="shared" ref="I77:I79" si="28">+SUM(C77:H77)</f>
        <v>363621</v>
      </c>
      <c r="J77" s="380"/>
      <c r="K77" s="378"/>
      <c r="L77" s="378"/>
      <c r="M77" s="378"/>
      <c r="N77" s="379"/>
      <c r="O77" s="395"/>
      <c r="P77" s="378"/>
      <c r="Q77" s="378"/>
      <c r="R77" s="379"/>
    </row>
    <row r="78" spans="1:18" ht="12.75" thickBot="1" x14ac:dyDescent="0.25">
      <c r="A78" s="23"/>
      <c r="B78" s="13">
        <v>2020</v>
      </c>
      <c r="C78" s="383"/>
      <c r="D78" s="381">
        <v>313358</v>
      </c>
      <c r="E78" s="381"/>
      <c r="F78" s="381">
        <v>65785</v>
      </c>
      <c r="G78" s="381"/>
      <c r="H78" s="381"/>
      <c r="I78" s="379">
        <f t="shared" si="28"/>
        <v>379143</v>
      </c>
      <c r="J78" s="383"/>
      <c r="K78" s="381"/>
      <c r="L78" s="381"/>
      <c r="M78" s="381"/>
      <c r="N78" s="382"/>
      <c r="O78" s="396"/>
      <c r="P78" s="381"/>
      <c r="Q78" s="381"/>
      <c r="R78" s="382"/>
    </row>
    <row r="79" spans="1:18" x14ac:dyDescent="0.2">
      <c r="A79" s="23"/>
      <c r="B79" s="13">
        <v>2021</v>
      </c>
      <c r="C79" s="383"/>
      <c r="D79" s="381">
        <v>313358</v>
      </c>
      <c r="E79" s="381"/>
      <c r="F79" s="381">
        <v>19590</v>
      </c>
      <c r="G79" s="381"/>
      <c r="H79" s="381"/>
      <c r="I79" s="379">
        <f t="shared" si="28"/>
        <v>332948</v>
      </c>
      <c r="J79" s="383"/>
      <c r="K79" s="381"/>
      <c r="L79" s="381"/>
      <c r="M79" s="381"/>
      <c r="N79" s="382"/>
      <c r="O79" s="396"/>
      <c r="P79" s="381"/>
      <c r="Q79" s="381"/>
      <c r="R79" s="382"/>
    </row>
    <row r="80" spans="1:18" ht="12.75" thickBot="1" x14ac:dyDescent="0.25">
      <c r="A80" s="25"/>
      <c r="B80" s="95" t="s">
        <v>419</v>
      </c>
      <c r="C80" s="389"/>
      <c r="D80" s="387">
        <f>+((D79/D78)-1)*100</f>
        <v>0</v>
      </c>
      <c r="E80" s="387"/>
      <c r="F80" s="387">
        <f>+((F79/F78)-1)*100</f>
        <v>-70.221175039902704</v>
      </c>
      <c r="G80" s="387"/>
      <c r="H80" s="387"/>
      <c r="I80" s="387">
        <f>+((I79/I78)-1)*100</f>
        <v>-12.184057202691335</v>
      </c>
      <c r="J80" s="389"/>
      <c r="K80" s="387"/>
      <c r="L80" s="387"/>
      <c r="M80" s="387"/>
      <c r="N80" s="388"/>
      <c r="O80" s="398"/>
      <c r="P80" s="387"/>
      <c r="Q80" s="387"/>
      <c r="R80" s="388"/>
    </row>
    <row r="81" spans="1:18" ht="12.75" thickBot="1" x14ac:dyDescent="0.25">
      <c r="A81" s="20" t="s">
        <v>253</v>
      </c>
      <c r="B81" s="56">
        <v>2019</v>
      </c>
      <c r="C81" s="380"/>
      <c r="D81" s="378">
        <v>238054124</v>
      </c>
      <c r="E81" s="378"/>
      <c r="F81" s="378">
        <v>65693891</v>
      </c>
      <c r="G81" s="378"/>
      <c r="H81" s="378">
        <v>4953117</v>
      </c>
      <c r="I81" s="379">
        <f t="shared" ref="I81:I83" si="29">+SUM(C81:H81)</f>
        <v>308701132</v>
      </c>
      <c r="J81" s="380"/>
      <c r="K81" s="378"/>
      <c r="L81" s="378">
        <v>2457916</v>
      </c>
      <c r="M81" s="378"/>
      <c r="N81" s="379">
        <f t="shared" ref="N81:N83" si="30">+SUM(J81:M81)</f>
        <v>2457916</v>
      </c>
      <c r="O81" s="395"/>
      <c r="P81" s="378"/>
      <c r="Q81" s="378"/>
      <c r="R81" s="379"/>
    </row>
    <row r="82" spans="1:18" ht="12.75" thickBot="1" x14ac:dyDescent="0.25">
      <c r="A82" s="23"/>
      <c r="B82" s="13">
        <v>2020</v>
      </c>
      <c r="C82" s="383"/>
      <c r="D82" s="381">
        <v>267101673</v>
      </c>
      <c r="E82" s="381"/>
      <c r="F82" s="381">
        <v>76596237</v>
      </c>
      <c r="G82" s="381"/>
      <c r="H82" s="381">
        <v>4488417</v>
      </c>
      <c r="I82" s="379">
        <f t="shared" si="29"/>
        <v>348186327</v>
      </c>
      <c r="J82" s="383"/>
      <c r="K82" s="381"/>
      <c r="L82" s="381">
        <v>30084902</v>
      </c>
      <c r="M82" s="381"/>
      <c r="N82" s="379">
        <f t="shared" si="30"/>
        <v>30084902</v>
      </c>
      <c r="O82" s="396"/>
      <c r="P82" s="381"/>
      <c r="Q82" s="381"/>
      <c r="R82" s="382"/>
    </row>
    <row r="83" spans="1:18" x14ac:dyDescent="0.2">
      <c r="A83" s="23"/>
      <c r="B83" s="13">
        <v>2021</v>
      </c>
      <c r="C83" s="383"/>
      <c r="D83" s="381">
        <v>292314652</v>
      </c>
      <c r="E83" s="381"/>
      <c r="F83" s="381">
        <v>158289939</v>
      </c>
      <c r="G83" s="381"/>
      <c r="H83" s="381">
        <v>4471385</v>
      </c>
      <c r="I83" s="379">
        <f t="shared" si="29"/>
        <v>455075976</v>
      </c>
      <c r="J83" s="383"/>
      <c r="K83" s="381"/>
      <c r="L83" s="381">
        <v>86252953</v>
      </c>
      <c r="M83" s="381"/>
      <c r="N83" s="379">
        <f t="shared" si="30"/>
        <v>86252953</v>
      </c>
      <c r="O83" s="396"/>
      <c r="P83" s="381"/>
      <c r="Q83" s="381"/>
      <c r="R83" s="382"/>
    </row>
    <row r="84" spans="1:18" ht="12.75" thickBot="1" x14ac:dyDescent="0.25">
      <c r="A84" s="25"/>
      <c r="B84" s="95" t="s">
        <v>419</v>
      </c>
      <c r="C84" s="389"/>
      <c r="D84" s="387">
        <f>+((D83/D82)-1)*100</f>
        <v>9.4394687673858169</v>
      </c>
      <c r="E84" s="387"/>
      <c r="F84" s="387">
        <f>+((F83/F82)-1)*100</f>
        <v>106.65498097510979</v>
      </c>
      <c r="G84" s="387"/>
      <c r="H84" s="387">
        <f>+((H83/H82)-1)*100</f>
        <v>-0.37946563342933226</v>
      </c>
      <c r="I84" s="387">
        <f>+((I83/I82)-1)*100</f>
        <v>30.698979457628162</v>
      </c>
      <c r="J84" s="389"/>
      <c r="K84" s="387"/>
      <c r="L84" s="387">
        <f>+((L83/L82)-1)*100</f>
        <v>186.69846755691611</v>
      </c>
      <c r="M84" s="387"/>
      <c r="N84" s="387">
        <f>+((N83/N82)-1)*100</f>
        <v>186.69846755691611</v>
      </c>
      <c r="O84" s="398"/>
      <c r="P84" s="387"/>
      <c r="Q84" s="387"/>
      <c r="R84" s="388"/>
    </row>
    <row r="85" spans="1:18" ht="12.75" thickBot="1" x14ac:dyDescent="0.25">
      <c r="A85" s="20" t="s">
        <v>254</v>
      </c>
      <c r="B85" s="56">
        <v>2019</v>
      </c>
      <c r="C85" s="380"/>
      <c r="D85" s="394"/>
      <c r="E85" s="378"/>
      <c r="F85" s="378">
        <v>39073</v>
      </c>
      <c r="G85" s="378"/>
      <c r="H85" s="378"/>
      <c r="I85" s="379">
        <f t="shared" ref="I85:I87" si="31">+SUM(C85:H85)</f>
        <v>39073</v>
      </c>
      <c r="J85" s="380"/>
      <c r="K85" s="378"/>
      <c r="L85" s="378"/>
      <c r="M85" s="378"/>
      <c r="N85" s="379"/>
      <c r="O85" s="395"/>
      <c r="P85" s="378"/>
      <c r="Q85" s="378"/>
      <c r="R85" s="379"/>
    </row>
    <row r="86" spans="1:18" ht="12.75" thickBot="1" x14ac:dyDescent="0.25">
      <c r="A86" s="23"/>
      <c r="B86" s="13">
        <v>2020</v>
      </c>
      <c r="C86" s="383"/>
      <c r="D86" s="394"/>
      <c r="E86" s="381"/>
      <c r="F86" s="381">
        <v>83150</v>
      </c>
      <c r="G86" s="381"/>
      <c r="H86" s="381"/>
      <c r="I86" s="379">
        <f t="shared" si="31"/>
        <v>83150</v>
      </c>
      <c r="J86" s="383"/>
      <c r="K86" s="381"/>
      <c r="L86" s="381"/>
      <c r="M86" s="381"/>
      <c r="N86" s="382"/>
      <c r="O86" s="396"/>
      <c r="P86" s="381"/>
      <c r="Q86" s="381"/>
      <c r="R86" s="382"/>
    </row>
    <row r="87" spans="1:18" x14ac:dyDescent="0.2">
      <c r="A87" s="23"/>
      <c r="B87" s="13">
        <v>2021</v>
      </c>
      <c r="C87" s="383"/>
      <c r="D87" s="381"/>
      <c r="E87" s="381"/>
      <c r="F87" s="381">
        <v>33973</v>
      </c>
      <c r="G87" s="381"/>
      <c r="H87" s="381"/>
      <c r="I87" s="379">
        <f t="shared" si="31"/>
        <v>33973</v>
      </c>
      <c r="J87" s="383"/>
      <c r="K87" s="381"/>
      <c r="L87" s="381"/>
      <c r="M87" s="381"/>
      <c r="N87" s="382"/>
      <c r="O87" s="396"/>
      <c r="P87" s="381"/>
      <c r="Q87" s="381"/>
      <c r="R87" s="382"/>
    </row>
    <row r="88" spans="1:18" ht="12.75" thickBot="1" x14ac:dyDescent="0.25">
      <c r="A88" s="25"/>
      <c r="B88" s="95" t="s">
        <v>419</v>
      </c>
      <c r="C88" s="389"/>
      <c r="D88" s="387"/>
      <c r="E88" s="387"/>
      <c r="F88" s="387">
        <f>+((F87/F86)-1)*100</f>
        <v>-59.14251352976548</v>
      </c>
      <c r="G88" s="387"/>
      <c r="H88" s="387"/>
      <c r="I88" s="387">
        <f>+((I87/I86)-1)*100</f>
        <v>-59.14251352976548</v>
      </c>
      <c r="J88" s="389"/>
      <c r="K88" s="387"/>
      <c r="L88" s="387"/>
      <c r="M88" s="387"/>
      <c r="N88" s="388"/>
      <c r="O88" s="398"/>
      <c r="P88" s="387"/>
      <c r="Q88" s="387"/>
      <c r="R88" s="388"/>
    </row>
    <row r="89" spans="1:18" ht="12.75" thickBot="1" x14ac:dyDescent="0.25">
      <c r="A89" s="20" t="s">
        <v>255</v>
      </c>
      <c r="B89" s="56">
        <v>2019</v>
      </c>
      <c r="C89" s="380"/>
      <c r="D89" s="378">
        <v>960252839</v>
      </c>
      <c r="E89" s="378"/>
      <c r="F89" s="378">
        <v>80689144</v>
      </c>
      <c r="G89" s="378"/>
      <c r="H89" s="378"/>
      <c r="I89" s="379">
        <f t="shared" ref="I89:I91" si="32">+SUM(C89:H89)</f>
        <v>1040941983</v>
      </c>
      <c r="J89" s="380"/>
      <c r="K89" s="378"/>
      <c r="L89" s="378">
        <v>5799966</v>
      </c>
      <c r="M89" s="378"/>
      <c r="N89" s="379">
        <f t="shared" ref="N89:N91" si="33">+SUM(J89:M89)</f>
        <v>5799966</v>
      </c>
      <c r="O89" s="395"/>
      <c r="P89" s="378"/>
      <c r="Q89" s="378"/>
      <c r="R89" s="379"/>
    </row>
    <row r="90" spans="1:18" ht="12.75" thickBot="1" x14ac:dyDescent="0.25">
      <c r="A90" s="23"/>
      <c r="B90" s="13">
        <v>2020</v>
      </c>
      <c r="C90" s="383"/>
      <c r="D90" s="381">
        <v>1042612553</v>
      </c>
      <c r="E90" s="381"/>
      <c r="F90" s="381">
        <v>77414247</v>
      </c>
      <c r="G90" s="381"/>
      <c r="H90" s="381"/>
      <c r="I90" s="379">
        <f t="shared" si="32"/>
        <v>1120026800</v>
      </c>
      <c r="J90" s="383"/>
      <c r="K90" s="381"/>
      <c r="L90" s="381">
        <v>31272525</v>
      </c>
      <c r="M90" s="381"/>
      <c r="N90" s="379">
        <f t="shared" si="33"/>
        <v>31272525</v>
      </c>
      <c r="O90" s="396"/>
      <c r="P90" s="381"/>
      <c r="Q90" s="381"/>
      <c r="R90" s="382"/>
    </row>
    <row r="91" spans="1:18" x14ac:dyDescent="0.2">
      <c r="A91" s="23"/>
      <c r="B91" s="13">
        <v>2021</v>
      </c>
      <c r="C91" s="383"/>
      <c r="D91" s="381">
        <v>1177944365</v>
      </c>
      <c r="E91" s="394"/>
      <c r="F91" s="381">
        <v>25503872</v>
      </c>
      <c r="G91" s="381"/>
      <c r="H91" s="381"/>
      <c r="I91" s="379">
        <f t="shared" si="32"/>
        <v>1203448237</v>
      </c>
      <c r="J91" s="383"/>
      <c r="K91" s="381"/>
      <c r="L91" s="381">
        <v>70516599</v>
      </c>
      <c r="M91" s="381"/>
      <c r="N91" s="379">
        <f t="shared" si="33"/>
        <v>70516599</v>
      </c>
      <c r="O91" s="396"/>
      <c r="P91" s="381"/>
      <c r="Q91" s="381"/>
      <c r="R91" s="382"/>
    </row>
    <row r="92" spans="1:18" ht="12.75" thickBot="1" x14ac:dyDescent="0.25">
      <c r="A92" s="25"/>
      <c r="B92" s="95" t="s">
        <v>419</v>
      </c>
      <c r="C92" s="389"/>
      <c r="D92" s="387">
        <f>+((D91/D90)-1)*100</f>
        <v>12.980067390383709</v>
      </c>
      <c r="E92" s="387"/>
      <c r="F92" s="387">
        <f>+((F91/F90)-1)*100</f>
        <v>-67.055325100559344</v>
      </c>
      <c r="G92" s="387"/>
      <c r="H92" s="387"/>
      <c r="I92" s="387">
        <f>+((I91/I90)-1)*100</f>
        <v>7.4481643653526941</v>
      </c>
      <c r="J92" s="389"/>
      <c r="K92" s="387"/>
      <c r="L92" s="387">
        <f>+((L91/L90)-1)*100</f>
        <v>125.49058318763838</v>
      </c>
      <c r="M92" s="387"/>
      <c r="N92" s="387">
        <f>+((N91/N90)-1)*100</f>
        <v>125.49058318763838</v>
      </c>
      <c r="O92" s="398"/>
      <c r="P92" s="387"/>
      <c r="Q92" s="387"/>
      <c r="R92" s="388"/>
    </row>
    <row r="93" spans="1:18" ht="12.75" thickBot="1" x14ac:dyDescent="0.25">
      <c r="A93" s="20" t="s">
        <v>256</v>
      </c>
      <c r="B93" s="56">
        <v>2019</v>
      </c>
      <c r="C93" s="380"/>
      <c r="D93" s="378"/>
      <c r="E93" s="378"/>
      <c r="F93" s="378">
        <v>1253424</v>
      </c>
      <c r="G93" s="378"/>
      <c r="H93" s="378">
        <v>23400</v>
      </c>
      <c r="I93" s="379">
        <f t="shared" ref="I93:I95" si="34">+SUM(C93:H93)</f>
        <v>1276824</v>
      </c>
      <c r="J93" s="380"/>
      <c r="K93" s="378"/>
      <c r="L93" s="378"/>
      <c r="M93" s="378"/>
      <c r="N93" s="379"/>
      <c r="O93" s="395"/>
      <c r="P93" s="378"/>
      <c r="Q93" s="378"/>
      <c r="R93" s="379"/>
    </row>
    <row r="94" spans="1:18" ht="12.75" thickBot="1" x14ac:dyDescent="0.25">
      <c r="A94" s="23"/>
      <c r="B94" s="13">
        <v>2020</v>
      </c>
      <c r="C94" s="383"/>
      <c r="D94" s="381"/>
      <c r="E94" s="381"/>
      <c r="F94" s="381">
        <v>1152271</v>
      </c>
      <c r="G94" s="381"/>
      <c r="H94" s="381"/>
      <c r="I94" s="379">
        <f t="shared" si="34"/>
        <v>1152271</v>
      </c>
      <c r="J94" s="383"/>
      <c r="K94" s="381"/>
      <c r="L94" s="381"/>
      <c r="M94" s="381"/>
      <c r="N94" s="382"/>
      <c r="O94" s="396"/>
      <c r="P94" s="381"/>
      <c r="Q94" s="381"/>
      <c r="R94" s="382"/>
    </row>
    <row r="95" spans="1:18" x14ac:dyDescent="0.2">
      <c r="A95" s="23"/>
      <c r="B95" s="13">
        <v>2021</v>
      </c>
      <c r="C95" s="383"/>
      <c r="D95" s="381"/>
      <c r="E95" s="381"/>
      <c r="F95" s="381">
        <v>2682593</v>
      </c>
      <c r="G95" s="381"/>
      <c r="H95" s="381"/>
      <c r="I95" s="379">
        <f t="shared" si="34"/>
        <v>2682593</v>
      </c>
      <c r="J95" s="383"/>
      <c r="K95" s="381"/>
      <c r="L95" s="381"/>
      <c r="M95" s="381"/>
      <c r="N95" s="382"/>
      <c r="O95" s="396"/>
      <c r="P95" s="381"/>
      <c r="Q95" s="381"/>
      <c r="R95" s="382"/>
    </row>
    <row r="96" spans="1:18" ht="12.75" thickBot="1" x14ac:dyDescent="0.25">
      <c r="A96" s="25"/>
      <c r="B96" s="95" t="s">
        <v>419</v>
      </c>
      <c r="C96" s="389"/>
      <c r="D96" s="387"/>
      <c r="E96" s="387"/>
      <c r="F96" s="387">
        <f>+((F95/F94)-1)*100</f>
        <v>132.80920894477083</v>
      </c>
      <c r="G96" s="387"/>
      <c r="H96" s="387" t="e">
        <f>+((H95/H94)-1)*100</f>
        <v>#DIV/0!</v>
      </c>
      <c r="I96" s="387">
        <f>+((I95/I94)-1)*100</f>
        <v>132.80920894477083</v>
      </c>
      <c r="J96" s="389"/>
      <c r="K96" s="387"/>
      <c r="L96" s="387"/>
      <c r="M96" s="387"/>
      <c r="N96" s="388"/>
      <c r="O96" s="398"/>
      <c r="P96" s="387"/>
      <c r="Q96" s="387"/>
      <c r="R96" s="400"/>
    </row>
    <row r="97" spans="1:18" ht="12.75" thickBot="1" x14ac:dyDescent="0.25">
      <c r="A97" s="20" t="s">
        <v>257</v>
      </c>
      <c r="B97" s="56">
        <v>2019</v>
      </c>
      <c r="C97" s="380"/>
      <c r="D97" s="378"/>
      <c r="E97" s="378">
        <v>89193068</v>
      </c>
      <c r="F97" s="378"/>
      <c r="G97" s="378"/>
      <c r="H97" s="378">
        <v>341073</v>
      </c>
      <c r="I97" s="379">
        <f t="shared" ref="I97:I99" si="35">+SUM(C97:H97)</f>
        <v>89534141</v>
      </c>
      <c r="J97" s="380"/>
      <c r="K97" s="378"/>
      <c r="L97" s="378"/>
      <c r="M97" s="378"/>
      <c r="N97" s="379"/>
      <c r="O97" s="395"/>
      <c r="P97" s="378"/>
      <c r="Q97" s="378"/>
      <c r="R97" s="379"/>
    </row>
    <row r="98" spans="1:18" ht="12.75" thickBot="1" x14ac:dyDescent="0.25">
      <c r="A98" s="23"/>
      <c r="B98" s="13">
        <v>2020</v>
      </c>
      <c r="C98" s="383"/>
      <c r="D98" s="381"/>
      <c r="E98" s="381">
        <v>92510524</v>
      </c>
      <c r="F98" s="381"/>
      <c r="G98" s="381"/>
      <c r="H98" s="381">
        <v>13060</v>
      </c>
      <c r="I98" s="379">
        <f t="shared" si="35"/>
        <v>92523584</v>
      </c>
      <c r="J98" s="383"/>
      <c r="K98" s="381"/>
      <c r="L98" s="381"/>
      <c r="M98" s="381"/>
      <c r="N98" s="382"/>
      <c r="O98" s="396"/>
      <c r="P98" s="381"/>
      <c r="Q98" s="381"/>
      <c r="R98" s="382"/>
    </row>
    <row r="99" spans="1:18" x14ac:dyDescent="0.2">
      <c r="A99" s="23"/>
      <c r="B99" s="13">
        <v>2021</v>
      </c>
      <c r="C99" s="383"/>
      <c r="D99" s="381"/>
      <c r="E99" s="381">
        <v>87712150</v>
      </c>
      <c r="F99" s="381"/>
      <c r="G99" s="381"/>
      <c r="H99" s="381"/>
      <c r="I99" s="379">
        <f t="shared" si="35"/>
        <v>87712150</v>
      </c>
      <c r="J99" s="383"/>
      <c r="K99" s="381"/>
      <c r="L99" s="381"/>
      <c r="M99" s="381"/>
      <c r="N99" s="382"/>
      <c r="O99" s="396"/>
      <c r="P99" s="381"/>
      <c r="Q99" s="381"/>
      <c r="R99" s="382"/>
    </row>
    <row r="100" spans="1:18" ht="12.75" thickBot="1" x14ac:dyDescent="0.25">
      <c r="A100" s="25"/>
      <c r="B100" s="95" t="s">
        <v>419</v>
      </c>
      <c r="C100" s="389"/>
      <c r="D100" s="387"/>
      <c r="E100" s="387">
        <f>+((E99/E98)-1)*100</f>
        <v>-5.1868412290043908</v>
      </c>
      <c r="F100" s="387"/>
      <c r="G100" s="387"/>
      <c r="H100" s="387">
        <f>+((H99/H98)-1)*100</f>
        <v>-100</v>
      </c>
      <c r="I100" s="387">
        <f>+((I99/I98)-1)*100</f>
        <v>-5.2002244098110157</v>
      </c>
      <c r="J100" s="389"/>
      <c r="K100" s="387"/>
      <c r="L100" s="387"/>
      <c r="M100" s="387"/>
      <c r="N100" s="388"/>
      <c r="O100" s="398"/>
      <c r="P100" s="387"/>
      <c r="Q100" s="387"/>
      <c r="R100" s="388"/>
    </row>
    <row r="101" spans="1:18" x14ac:dyDescent="0.2">
      <c r="A101" s="20" t="s">
        <v>258</v>
      </c>
      <c r="B101" s="56">
        <v>2019</v>
      </c>
      <c r="C101" s="380"/>
      <c r="D101" s="378"/>
      <c r="E101" s="378"/>
      <c r="F101" s="378"/>
      <c r="G101" s="378"/>
      <c r="H101" s="378"/>
      <c r="I101" s="379"/>
      <c r="J101" s="380"/>
      <c r="K101" s="378"/>
      <c r="L101" s="378"/>
      <c r="M101" s="378"/>
      <c r="N101" s="379"/>
      <c r="O101" s="395"/>
      <c r="P101" s="378"/>
      <c r="Q101" s="378"/>
      <c r="R101" s="379"/>
    </row>
    <row r="102" spans="1:18" x14ac:dyDescent="0.2">
      <c r="A102" s="23"/>
      <c r="B102" s="13">
        <v>2020</v>
      </c>
      <c r="C102" s="383"/>
      <c r="D102" s="381"/>
      <c r="E102" s="381"/>
      <c r="F102" s="381"/>
      <c r="G102" s="381"/>
      <c r="H102" s="381"/>
      <c r="I102" s="382"/>
      <c r="J102" s="383"/>
      <c r="K102" s="381"/>
      <c r="L102" s="381"/>
      <c r="M102" s="381"/>
      <c r="N102" s="382"/>
      <c r="O102" s="396"/>
      <c r="P102" s="381"/>
      <c r="Q102" s="381"/>
      <c r="R102" s="382"/>
    </row>
    <row r="103" spans="1:18" x14ac:dyDescent="0.2">
      <c r="A103" s="23"/>
      <c r="B103" s="13">
        <v>2021</v>
      </c>
      <c r="C103" s="383"/>
      <c r="D103" s="381"/>
      <c r="E103" s="381"/>
      <c r="F103" s="381"/>
      <c r="G103" s="381"/>
      <c r="H103" s="381"/>
      <c r="I103" s="382"/>
      <c r="J103" s="383"/>
      <c r="K103" s="381"/>
      <c r="L103" s="381"/>
      <c r="M103" s="381"/>
      <c r="N103" s="382"/>
      <c r="O103" s="396"/>
      <c r="P103" s="381"/>
      <c r="Q103" s="381"/>
      <c r="R103" s="382"/>
    </row>
    <row r="104" spans="1:18" ht="12.75" thickBot="1" x14ac:dyDescent="0.25">
      <c r="A104" s="25"/>
      <c r="B104" s="95" t="s">
        <v>419</v>
      </c>
      <c r="C104" s="389"/>
      <c r="D104" s="387"/>
      <c r="E104" s="387"/>
      <c r="F104" s="387"/>
      <c r="G104" s="387"/>
      <c r="H104" s="387"/>
      <c r="I104" s="388"/>
      <c r="J104" s="389"/>
      <c r="K104" s="387"/>
      <c r="L104" s="387"/>
      <c r="M104" s="387"/>
      <c r="N104" s="388"/>
      <c r="O104" s="398"/>
      <c r="P104" s="387"/>
      <c r="Q104" s="387"/>
      <c r="R104" s="388"/>
    </row>
    <row r="105" spans="1:18" x14ac:dyDescent="0.2">
      <c r="A105" s="81" t="s">
        <v>0</v>
      </c>
      <c r="B105" s="56">
        <v>2019</v>
      </c>
      <c r="C105" s="392"/>
      <c r="D105" s="390">
        <f>+D101+D97+D93+D89+D85+D81+D77+D73+D69+D65+D61+D57+D53+D49+D45+D41+D37+D33+D29+D25+D21+D17+D13</f>
        <v>1228772870</v>
      </c>
      <c r="E105" s="390">
        <f t="shared" ref="E105:P105" si="36">+E101+E97+E93+E89+E85+E81+E77+E73+E69+E65+E61+E57+E53+E49+E45+E41+E37+E33+E29+E25+E21+E17+E13</f>
        <v>91593068</v>
      </c>
      <c r="F105" s="390">
        <f t="shared" si="36"/>
        <v>182882498</v>
      </c>
      <c r="G105" s="390">
        <f t="shared" si="36"/>
        <v>0</v>
      </c>
      <c r="H105" s="390">
        <f t="shared" si="36"/>
        <v>5662320</v>
      </c>
      <c r="I105" s="390">
        <f t="shared" si="36"/>
        <v>1508910756</v>
      </c>
      <c r="J105" s="390">
        <f t="shared" si="36"/>
        <v>0</v>
      </c>
      <c r="K105" s="390">
        <f t="shared" si="36"/>
        <v>0</v>
      </c>
      <c r="L105" s="390">
        <f t="shared" si="36"/>
        <v>73363207</v>
      </c>
      <c r="M105" s="390">
        <f t="shared" si="36"/>
        <v>0</v>
      </c>
      <c r="N105" s="390">
        <f t="shared" si="36"/>
        <v>73363207</v>
      </c>
      <c r="O105" s="390">
        <f t="shared" si="36"/>
        <v>0</v>
      </c>
      <c r="P105" s="390">
        <f t="shared" si="36"/>
        <v>0</v>
      </c>
      <c r="Q105" s="390"/>
      <c r="R105" s="391"/>
    </row>
    <row r="106" spans="1:18" x14ac:dyDescent="0.2">
      <c r="A106" s="26"/>
      <c r="B106" s="13">
        <v>2020</v>
      </c>
      <c r="C106" s="383"/>
      <c r="D106" s="381">
        <f>+D102+D98+D94+D90+D86+D82+D78+D74+D70+D66+D62+D58+D54+D50+D46+D42+D38+D34+D30+D26+D22+D18+D14</f>
        <v>1360702239</v>
      </c>
      <c r="E106" s="381">
        <f t="shared" ref="E106:L106" si="37">+E102+E98+E94+E90+E86+E82+E78+E74+E70+E66+E62+E58+E54+E50+E46+E42+E38+E34+E30+E26+E22+E18+E14</f>
        <v>94447527</v>
      </c>
      <c r="F106" s="381">
        <f t="shared" si="37"/>
        <v>204556514</v>
      </c>
      <c r="G106" s="381">
        <f t="shared" si="37"/>
        <v>0</v>
      </c>
      <c r="H106" s="381">
        <f t="shared" si="37"/>
        <v>4730544</v>
      </c>
      <c r="I106" s="381">
        <f t="shared" si="37"/>
        <v>1664436824</v>
      </c>
      <c r="J106" s="381">
        <f t="shared" si="37"/>
        <v>0</v>
      </c>
      <c r="K106" s="381">
        <f t="shared" si="37"/>
        <v>0</v>
      </c>
      <c r="L106" s="381">
        <f t="shared" si="37"/>
        <v>178805784</v>
      </c>
      <c r="M106" s="381"/>
      <c r="N106" s="382"/>
      <c r="O106" s="396"/>
      <c r="P106" s="381"/>
      <c r="Q106" s="381"/>
      <c r="R106" s="382"/>
    </row>
    <row r="107" spans="1:18" x14ac:dyDescent="0.2">
      <c r="A107" s="26"/>
      <c r="B107" s="13">
        <v>2021</v>
      </c>
      <c r="C107" s="383"/>
      <c r="D107" s="381">
        <f>+D7+D11+D15+D19+D23+D27+D31+D35+D39+D43+D47+D51+D55+D59+D63+D67+D71+D75+D79+D83+D87+D91+D95+D99+D103</f>
        <v>1491842730</v>
      </c>
      <c r="E107" s="381"/>
      <c r="F107" s="381"/>
      <c r="G107" s="381"/>
      <c r="H107" s="381"/>
      <c r="I107" s="382"/>
      <c r="J107" s="383"/>
      <c r="K107" s="381"/>
      <c r="L107" s="381"/>
      <c r="M107" s="381"/>
      <c r="N107" s="382"/>
      <c r="O107" s="396"/>
      <c r="P107" s="381"/>
      <c r="Q107" s="381"/>
      <c r="R107" s="382"/>
    </row>
    <row r="108" spans="1:18" ht="12.75" thickBot="1" x14ac:dyDescent="0.25">
      <c r="A108" s="25"/>
      <c r="B108" s="95" t="s">
        <v>419</v>
      </c>
      <c r="C108" s="96"/>
      <c r="D108" s="387">
        <f t="shared" ref="D108:H108" si="38">+((D107/D106)-1)*100</f>
        <v>9.6377067106450109</v>
      </c>
      <c r="E108" s="387">
        <f t="shared" si="38"/>
        <v>-100</v>
      </c>
      <c r="F108" s="387">
        <f t="shared" si="38"/>
        <v>-100</v>
      </c>
      <c r="G108" s="387"/>
      <c r="H108" s="387">
        <f t="shared" si="38"/>
        <v>-100</v>
      </c>
      <c r="I108" s="387">
        <f t="shared" ref="I108" si="39">+((I107/I106)-1)*100</f>
        <v>-100</v>
      </c>
      <c r="J108" s="387" t="e">
        <f t="shared" ref="J108" si="40">+((J107/J106)-1)*100</f>
        <v>#DIV/0!</v>
      </c>
      <c r="K108" s="387" t="e">
        <f t="shared" ref="K108" si="41">+((K107/K106)-1)*100</f>
        <v>#DIV/0!</v>
      </c>
      <c r="L108" s="387">
        <f t="shared" ref="L108" si="42">+((L107/L106)-1)*100</f>
        <v>-100</v>
      </c>
      <c r="M108" s="387" t="e">
        <f t="shared" ref="M108" si="43">+((M107/M106)-1)*100</f>
        <v>#DIV/0!</v>
      </c>
      <c r="N108" s="387" t="e">
        <f t="shared" ref="N108" si="44">+((N107/N106)-1)*100</f>
        <v>#DIV/0!</v>
      </c>
      <c r="O108" s="387" t="e">
        <f t="shared" ref="O108" si="45">+((O107/O106)-1)*100</f>
        <v>#DIV/0!</v>
      </c>
      <c r="P108" s="387" t="e">
        <f t="shared" ref="P108" si="46">+((P107/P106)-1)*100</f>
        <v>#DIV/0!</v>
      </c>
      <c r="Q108" s="387" t="e">
        <f t="shared" ref="Q108" si="47">+((Q107/Q106)-1)*100</f>
        <v>#DIV/0!</v>
      </c>
      <c r="R108" s="387" t="e">
        <f t="shared" ref="R108" si="48">+((R107/R106)-1)*100</f>
        <v>#DIV/0!</v>
      </c>
    </row>
  </sheetData>
  <mergeCells count="6">
    <mergeCell ref="Q3:R3"/>
    <mergeCell ref="A3:A4"/>
    <mergeCell ref="C3:I3"/>
    <mergeCell ref="J3:N3"/>
    <mergeCell ref="O3:P3"/>
    <mergeCell ref="B3:B4"/>
  </mergeCells>
  <phoneticPr fontId="0" type="noConversion"/>
  <printOptions horizontalCentered="1"/>
  <pageMargins left="0.25" right="0.25" top="0.75" bottom="0.75" header="0.3" footer="0.3"/>
  <pageSetup paperSize="9" scale="47" orientation="portrait" r:id="rId1"/>
  <headerFooter alignWithMargins="0">
    <oddHeader xml:space="preserve">&amp;C&amp;"Arial,Negrita"&amp;18PROYECTO DE PRESUPUESTO 2021
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17</vt:i4>
      </vt:variant>
    </vt:vector>
  </HeadingPairs>
  <TitlesOfParts>
    <vt:vector size="38" baseType="lpstr">
      <vt:lpstr>Índice</vt:lpstr>
      <vt:lpstr>F-01</vt:lpstr>
      <vt:lpstr>F-02</vt:lpstr>
      <vt:lpstr>F-03</vt:lpstr>
      <vt:lpstr>F-04</vt:lpstr>
      <vt:lpstr>F-05</vt:lpstr>
      <vt:lpstr>F-06</vt:lpstr>
      <vt:lpstr>F-07</vt:lpstr>
      <vt:lpstr>F-08</vt:lpstr>
      <vt:lpstr>F-09</vt:lpstr>
      <vt:lpstr>F-10</vt:lpstr>
      <vt:lpstr>F-11</vt:lpstr>
      <vt:lpstr>F-12</vt:lpstr>
      <vt:lpstr>F-13</vt:lpstr>
      <vt:lpstr>F-14</vt:lpstr>
      <vt:lpstr>F-15</vt:lpstr>
      <vt:lpstr>F-16</vt:lpstr>
      <vt:lpstr>F-17</vt:lpstr>
      <vt:lpstr>F-18</vt:lpstr>
      <vt:lpstr>Hoja2</vt:lpstr>
      <vt:lpstr>Hoja1</vt:lpstr>
      <vt:lpstr>'F-01'!Área_de_impresión</vt:lpstr>
      <vt:lpstr>'F-06'!Área_de_impresión</vt:lpstr>
      <vt:lpstr>'F-07'!Área_de_impresión</vt:lpstr>
      <vt:lpstr>'F-08'!Área_de_impresión</vt:lpstr>
      <vt:lpstr>'F-09'!Área_de_impresión</vt:lpstr>
      <vt:lpstr>'F-10'!Área_de_impresión</vt:lpstr>
      <vt:lpstr>'F-11'!Área_de_impresión</vt:lpstr>
      <vt:lpstr>'F-12'!Área_de_impresión</vt:lpstr>
      <vt:lpstr>'F-13'!Área_de_impresión</vt:lpstr>
      <vt:lpstr>'F-14'!Área_de_impresión</vt:lpstr>
      <vt:lpstr>'F-15'!Área_de_impresión</vt:lpstr>
      <vt:lpstr>'F-16'!Área_de_impresión</vt:lpstr>
      <vt:lpstr>'F-17'!Área_de_impresión</vt:lpstr>
      <vt:lpstr>'F-18'!Área_de_impresión</vt:lpstr>
      <vt:lpstr>Índice!Área_de_impresión</vt:lpstr>
      <vt:lpstr>'F-01'!Títulos_a_imprimir</vt:lpstr>
      <vt:lpstr>Índice!Títulos_a_imprimir</vt:lpstr>
    </vt:vector>
  </TitlesOfParts>
  <Company>Congreso de la República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Directiva Formulaicón de Presupuesto (V 2008)</dc:title>
  <dc:creator>Asesoria de Presupuesto</dc:creator>
  <cp:lastModifiedBy>pined</cp:lastModifiedBy>
  <cp:lastPrinted>2019-08-26T22:01:28Z</cp:lastPrinted>
  <dcterms:created xsi:type="dcterms:W3CDTF">1998-08-20T20:27:58Z</dcterms:created>
  <dcterms:modified xsi:type="dcterms:W3CDTF">2020-10-08T05:59:08Z</dcterms:modified>
</cp:coreProperties>
</file>